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Rekapitulace stavby" sheetId="1" r:id="rId1"/>
    <sheet name="Výkaz výměr" sheetId="2" r:id="rId2"/>
  </sheets>
  <definedNames>
    <definedName name="_xlnm.Print_Titles" localSheetId="1">'Výkaz výměr'!$92:$94</definedName>
    <definedName name="_xlnm.Print_Area" localSheetId="0">'Rekapitulace stavby'!$C$3:$AP$68,'Rekapitulace stavby'!$C$75:$AP$91</definedName>
    <definedName name="_xlnm.Print_Area" localSheetId="1">'Výkaz výměr'!$C$3:$U$49,'Výkaz výměr'!$C$55:$U$76,'Výkaz výměr'!$C$82:$U$242</definedName>
  </definedNames>
  <calcPr fullCalcOnLoad="1"/>
</workbook>
</file>

<file path=xl/sharedStrings.xml><?xml version="1.0" encoding="utf-8"?>
<sst xmlns="http://schemas.openxmlformats.org/spreadsheetml/2006/main" count="720" uniqueCount="252">
  <si>
    <t/>
  </si>
  <si>
    <t>False</t>
  </si>
  <si>
    <t>0,01</t>
  </si>
  <si>
    <t>15</t>
  </si>
  <si>
    <t>SOUHRNNÝ LIST STAVBY</t>
  </si>
  <si>
    <t>v ---  níže se nacházejí doplnkové a pomocné údaje k sestavám  --- v</t>
  </si>
  <si>
    <t>0,001</t>
  </si>
  <si>
    <t>Kód:</t>
  </si>
  <si>
    <t>2020</t>
  </si>
  <si>
    <t>Stavba:</t>
  </si>
  <si>
    <t>Chrudim - chodník Čavisovská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</si>
  <si>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</si>
  <si>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</si>
  <si>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</si>
  <si>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</si>
  <si>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</si>
  <si>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</si>
  <si>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</si>
  <si>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</si>
  <si>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</si>
  <si>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</si>
  <si>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</si>
  <si>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</si>
  <si>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</si>
  <si>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</si>
  <si>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</si>
  <si>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</si>
  <si>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</si>
  <si>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</si>
  <si>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</si>
  <si>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</si>
  <si>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</si>
  <si>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</si>
  <si>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</si>
  <si>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</si>
  <si>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</si>
  <si>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</si>
  <si>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</si>
  <si>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</si>
  <si>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</si>
  <si>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</si>
  <si>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</si>
  <si>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</si>
  <si>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</si>
  <si>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</si>
  <si>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</si>
  <si>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</si>
  <si>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</si>
  <si>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</si>
  <si>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</si>
  <si>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</si>
  <si>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</si>
  <si>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</si>
  <si>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</si>
  <si>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</si>
  <si>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</si>
  <si>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</si>
  <si>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</si>
  <si>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</si>
  <si>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</si>
  <si>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</si>
  <si>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</si>
  <si>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</si>
  <si>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</si>
  <si>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</si>
  <si>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</si>
  <si>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</si>
  <si>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</si>
  <si>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</si>
  <si>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{45cdec07-e1cf-499e-8603-76a3b757b606}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</si>
  <si>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</si>
  <si>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</si>
  <si>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</si>
  <si>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</si>
  <si>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</si>
  <si>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</si>
  <si>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</si>
  <si>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</si>
  <si>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</si>
  <si>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</si>
  <si>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</si>
  <si>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</si>
  <si>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</si>
  <si>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</si>
  <si>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</si>
  <si>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</si>
  <si>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</si>
  <si>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</si>
  <si>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</si>
  <si>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</si>
  <si>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</si>
  <si>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</si>
  <si>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</si>
  <si>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</si>
  <si>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</si>
  <si>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</si>
  <si>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ROZPOCET</t>
  </si>
  <si>
    <t>K</t>
  </si>
  <si>
    <t>113106021</t>
  </si>
  <si>
    <t>Rozebrání dlažeb při překopech komunikací pro pěší z betonových dlaždic plochy do 15 m2</t>
  </si>
  <si>
    <t>m2</t>
  </si>
  <si>
    <t>4</t>
  </si>
  <si>
    <t>-25099100</t>
  </si>
  <si>
    <t>113106023</t>
  </si>
  <si>
    <t>Rozebrání dlažeb při překopech komunikací pro pěší ze zámkových dlaždic plochy do 15 m2</t>
  </si>
  <si>
    <t>-542719044</t>
  </si>
  <si>
    <t>113107111</t>
  </si>
  <si>
    <t>Odstranění podkladu pl do 50 m2 z kameniva těženého tl 100 mm</t>
  </si>
  <si>
    <t>425156631</t>
  </si>
  <si>
    <t>113107182</t>
  </si>
  <si>
    <t>Odstranění podkladu pl přes 50 do 200 m2 živičných tl 100 mm</t>
  </si>
  <si>
    <t>923669114</t>
  </si>
  <si>
    <t>113108441</t>
  </si>
  <si>
    <t>Rozrytí krytu z kameniva bez zhutnění bez živičného pojiva</t>
  </si>
  <si>
    <t>-1459770006</t>
  </si>
  <si>
    <t>113202111</t>
  </si>
  <si>
    <t>Vytrhání obrub krajníků obrubníků stojatých</t>
  </si>
  <si>
    <t>m</t>
  </si>
  <si>
    <t>-1209815805</t>
  </si>
  <si>
    <t>564821112</t>
  </si>
  <si>
    <t>Podklad ze štěrkodrtě ŠD tl 90 mm</t>
  </si>
  <si>
    <t>-622719455</t>
  </si>
  <si>
    <t>596211112</t>
  </si>
  <si>
    <t>Kladení zámkové dlažby komunikací pro pěší tl 60 mm skupiny A pl do 300 m2</t>
  </si>
  <si>
    <t>1855043731</t>
  </si>
  <si>
    <t>M</t>
  </si>
  <si>
    <t>8</t>
  </si>
  <si>
    <t>251875339</t>
  </si>
  <si>
    <t>596211210</t>
  </si>
  <si>
    <t>Kladení zámkové dlažby komunikací pro pěší tl 80 mm skupiny A pl do 50 m2</t>
  </si>
  <si>
    <t>1782190579</t>
  </si>
  <si>
    <t>916131213</t>
  </si>
  <si>
    <t>Osazení silničního obrubníku betonového stojatého s boční opěrou do lože z betonu prostého</t>
  </si>
  <si>
    <t>-941481126</t>
  </si>
  <si>
    <t>592174660</t>
  </si>
  <si>
    <t>kus</t>
  </si>
  <si>
    <t>1687757635</t>
  </si>
  <si>
    <t>592174690</t>
  </si>
  <si>
    <t>obrubník betonový silniční přechodový L + P Standard 100x15x15-25 cm</t>
  </si>
  <si>
    <t>153420215</t>
  </si>
  <si>
    <t>919735112</t>
  </si>
  <si>
    <t>Řezání stávajícího živičného krytu hl do 100 mm</t>
  </si>
  <si>
    <t>1555079808</t>
  </si>
  <si>
    <t>997221561</t>
  </si>
  <si>
    <t>Vodorovná doprava suti z kusových materiálů do 1 km</t>
  </si>
  <si>
    <t>t</t>
  </si>
  <si>
    <t>569225654</t>
  </si>
  <si>
    <t>997221569</t>
  </si>
  <si>
    <t>Příplatek ZKD 1 km u vodorovné dopravy suti z kusových materiálů</t>
  </si>
  <si>
    <t>-229801829</t>
  </si>
  <si>
    <t>997221571</t>
  </si>
  <si>
    <t>Vodorovná doprava vybouraných hmot do 1 km</t>
  </si>
  <si>
    <t>-435032924</t>
  </si>
  <si>
    <t>997221579</t>
  </si>
  <si>
    <t>Příplatek ZKD 1 km u vodorovné dopravy vybouraných hmot</t>
  </si>
  <si>
    <t>307829553</t>
  </si>
  <si>
    <t>997221611</t>
  </si>
  <si>
    <t>Nakládání suti na dopravní prostředky pro vodorovnou dopravu</t>
  </si>
  <si>
    <t>-1471330602</t>
  </si>
  <si>
    <t>997221612</t>
  </si>
  <si>
    <t>Nakládání vybouraných hmot na dopravní prostředky pro vodorovnou dopravu</t>
  </si>
  <si>
    <t>1211088971</t>
  </si>
  <si>
    <t>997221815</t>
  </si>
  <si>
    <t>Poplatek za uložení betonového odpadu na skládce (skládkovné)</t>
  </si>
  <si>
    <t>1482225817</t>
  </si>
  <si>
    <t>997221845</t>
  </si>
  <si>
    <t>Poplatek za uložení odpadu z asfaltových povrchů na skládce (skládkovné)</t>
  </si>
  <si>
    <t>1054284335</t>
  </si>
  <si>
    <t>997221855</t>
  </si>
  <si>
    <t>Poplatek za uložení odpadu z kameniva na skládce (skládkovné)</t>
  </si>
  <si>
    <t>-196511274</t>
  </si>
  <si>
    <t>2,0x3,5</t>
  </si>
  <si>
    <t>3,75x1,85</t>
  </si>
  <si>
    <t>-2,0x3,5</t>
  </si>
  <si>
    <t>-3,75x1,85</t>
  </si>
  <si>
    <t xml:space="preserve">CHODNÍK </t>
  </si>
  <si>
    <t>CHODNÍK - vstup do komunikace</t>
  </si>
  <si>
    <t>CHODNÍK - sjezd 3</t>
  </si>
  <si>
    <t>CHODNÍK - sjezd 4</t>
  </si>
  <si>
    <t>72,5x1,85+72,5x1,6</t>
  </si>
  <si>
    <t>CHODNÍK - sjezd 1</t>
  </si>
  <si>
    <t>CHODNÍK - sjezd 2</t>
  </si>
  <si>
    <t>CHODNÍK - sjezd 5</t>
  </si>
  <si>
    <t>CHODNÍK - sjezd 6</t>
  </si>
  <si>
    <t xml:space="preserve">betonová zámková dlažba PARKETA 20x10x8 - antracit (černá) </t>
  </si>
  <si>
    <t>VSTUP do komunikace</t>
  </si>
  <si>
    <t>koeficient prořezu</t>
  </si>
  <si>
    <t>betonová zámková dlažba PARKETA 20x10x8 - červená bezbariérová</t>
  </si>
  <si>
    <t>2,9x(1,7-0,4)</t>
  </si>
  <si>
    <t>3,45x(1,8-0,4)</t>
  </si>
  <si>
    <t>7,5x(1,75-0,4)</t>
  </si>
  <si>
    <t>4,0x(2,0-0,4)</t>
  </si>
  <si>
    <t>4,6x(2,0-0,4)</t>
  </si>
  <si>
    <t>betonová zámková dlažba PARKETA 20x10x6 - šedá</t>
  </si>
  <si>
    <t>919122121</t>
  </si>
  <si>
    <t>Těsnění spár zálivkou za tepla pro komůrky š 15 mm hl 25 mm s těsnicím profilem</t>
  </si>
  <si>
    <t>919731121</t>
  </si>
  <si>
    <t>Zarovnání styčné plochy podkladu nebo krytu živičného tl do 50 mm</t>
  </si>
  <si>
    <t>577134111</t>
  </si>
  <si>
    <t>Asfaltový beton vrstva obrusná ACO 11 (ABS) tř. I tl 40 mm š do 3 m z nemodifikovaného asfaltu</t>
  </si>
  <si>
    <t>573231111</t>
  </si>
  <si>
    <t>Postřik živičný spojovací ze silniční emulze v množství do 0,7 kg/m2</t>
  </si>
  <si>
    <t>sjezd</t>
  </si>
  <si>
    <t>obrubník betonový silniční nájezdový 100x15x15 cm</t>
  </si>
  <si>
    <t>592174100</t>
  </si>
  <si>
    <t>vstup do komunikace</t>
  </si>
  <si>
    <t>2,0</t>
  </si>
  <si>
    <t>Cena [CZK]</t>
  </si>
  <si>
    <t>Hmotnost
 [t]</t>
  </si>
  <si>
    <t>Suť [t]</t>
  </si>
  <si>
    <t>Jedn.</t>
  </si>
  <si>
    <t>Celkem</t>
  </si>
  <si>
    <t>(1+2,9+1)x0,4</t>
  </si>
  <si>
    <t>(1+3,45+1)x0,4</t>
  </si>
  <si>
    <t>(1+7,5+1)x0,4</t>
  </si>
  <si>
    <t>(1+4,0+1)x0,4</t>
  </si>
  <si>
    <t>(1+4,6+1)x0,4</t>
  </si>
  <si>
    <t>(1+3,0)x0,4</t>
  </si>
  <si>
    <t>-2,9x(1,7-0,4)</t>
  </si>
  <si>
    <t>-3,45x(1,8-0,4)</t>
  </si>
  <si>
    <t>-7,5x(1,75-0,4)</t>
  </si>
  <si>
    <t>-4,0x(2,0-0,4)</t>
  </si>
  <si>
    <t>-4,6x(2,0-0,4)</t>
  </si>
  <si>
    <t>-(1+2,9+1)x0,4</t>
  </si>
  <si>
    <t>-(1+3,45+1)x0,4</t>
  </si>
  <si>
    <t>-(1+7,5+1)x0,4</t>
  </si>
  <si>
    <t>-(1+4,0+1)x0,4</t>
  </si>
  <si>
    <t>-(1+4,6+1)x0,4</t>
  </si>
  <si>
    <t>-(1+3,0)x0,4</t>
  </si>
  <si>
    <t>obrubník betonový chodníkový 100x8x25 cm</t>
  </si>
  <si>
    <t>2,9+3,45+7,5+7,5+4,0+4,6</t>
  </si>
  <si>
    <t>Dopravně inženýrské opatření DIO</t>
  </si>
  <si>
    <t>kpl</t>
  </si>
  <si>
    <t xml:space="preserve">    998 - Přesun hmot</t>
  </si>
  <si>
    <t>998225111</t>
  </si>
  <si>
    <t>Přesun hmot pro pozemní komunikace s krytem z kamene, monolitickým betonovým nebo živičným</t>
  </si>
  <si>
    <t>998225191</t>
  </si>
  <si>
    <t>Příplatek k přesunu hmot pro pozemní komunikace s krytem z kamene, živičným, betonovým do 1000 m</t>
  </si>
  <si>
    <t>3,0</t>
  </si>
  <si>
    <t>2*1</t>
  </si>
  <si>
    <t>2*6</t>
  </si>
  <si>
    <t>silniční přechodový</t>
  </si>
  <si>
    <t>2*1+2*6</t>
  </si>
  <si>
    <t>silniční nájezdový</t>
  </si>
  <si>
    <t>3,0+2,9+3,45+7,5+7,5+4,0+4,6</t>
  </si>
  <si>
    <t>chodníkový</t>
  </si>
  <si>
    <t>2,0+2,9+3,45+7,5+7,5+4,0+4,6</t>
  </si>
  <si>
    <t>(2*1+2*6)*0,5</t>
  </si>
  <si>
    <t>(3,0+2,9+3,45+7,5+7,5+4,0+4,6)*0,5</t>
  </si>
  <si>
    <t>2*1+2*6+(2*0,5)*1</t>
  </si>
  <si>
    <t>3,0+2,9+3,45+7,5+7,5+4,0+4,6+(2*0,5)*6</t>
  </si>
  <si>
    <t>Úprava právého chodníku v ul. Čavisovská v Chrudimi od křižovatky s ul. Družtevní po křižovatku s ul. Slovenská - s výměnou obrubníku v místě sjezdu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</si>
</sst>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  <numFmt numFmtId="178" formatCode="[$-405]dddd\ d\.\ mmmm\ yyyy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sz val="8"/>
      <name val="Calibri"/>
      <family val="2"/>
    </font>
    <font>
      <sz val="5"/>
      <name val="Trebuchet MS"/>
      <family val="2"/>
    </font>
    <font>
      <b/>
      <sz val="5"/>
      <color indexed="12"/>
      <name val="Trebuchet MS"/>
      <family val="2"/>
    </font>
    <font>
      <b/>
      <sz val="20"/>
      <name val="Trebuchet MS"/>
      <family val="2"/>
    </font>
    <font>
      <sz val="2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0"/>
      <color indexed="5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8"/>
      <color indexed="56"/>
      <name val="Trebuchet MS"/>
      <family val="2"/>
    </font>
    <font>
      <b/>
      <sz val="10"/>
      <color indexed="56"/>
      <name val="Trebuchet MS"/>
      <family val="2"/>
    </font>
    <font>
      <sz val="5"/>
      <color indexed="55"/>
      <name val="Trebuchet MS"/>
      <family val="2"/>
    </font>
    <font>
      <b/>
      <i/>
      <sz val="8"/>
      <color indexed="12"/>
      <name val="Trebuchet MS"/>
      <family val="2"/>
    </font>
    <font>
      <sz val="8"/>
      <color indexed="16"/>
      <name val="Trebuchet MS"/>
      <family val="2"/>
    </font>
    <font>
      <sz val="5"/>
      <color indexed="8"/>
      <name val="Trebuchet MS"/>
      <family val="2"/>
    </font>
    <font>
      <b/>
      <sz val="10"/>
      <color indexed="12"/>
      <name val="Trebuchet MS"/>
      <family val="2"/>
    </font>
    <font>
      <sz val="8"/>
      <color indexed="48"/>
      <name val="Trebuchet MS"/>
      <family val="2"/>
    </font>
    <font>
      <sz val="12"/>
      <color indexed="55"/>
      <name val="Trebuchet MS"/>
      <family val="2"/>
    </font>
    <font>
      <sz val="11"/>
      <color indexed="55"/>
      <name val="Trebuchet MS"/>
      <family val="2"/>
    </font>
    <font>
      <b/>
      <sz val="8"/>
      <color indexed="5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8"/>
      <color rgb="FF0000FF"/>
      <name val="Trebuchet MS"/>
      <family val="2"/>
    </font>
    <font>
      <sz val="5"/>
      <color rgb="FF969696"/>
      <name val="Trebuchet MS"/>
      <family val="2"/>
    </font>
    <font>
      <b/>
      <i/>
      <sz val="8"/>
      <color rgb="FF0000FF"/>
      <name val="Trebuchet MS"/>
      <family val="2"/>
    </font>
    <font>
      <sz val="8"/>
      <color rgb="FF960000"/>
      <name val="Trebuchet MS"/>
      <family val="2"/>
    </font>
    <font>
      <sz val="5"/>
      <color rgb="FF000000"/>
      <name val="Trebuchet MS"/>
      <family val="2"/>
    </font>
    <font>
      <b/>
      <sz val="10"/>
      <color rgb="FF0000FF"/>
      <name val="Trebuchet MS"/>
      <family val="2"/>
    </font>
    <font>
      <sz val="8"/>
      <color rgb="FF3366FF"/>
      <name val="Trebuchet MS"/>
      <family val="2"/>
    </font>
    <font>
      <sz val="12"/>
      <color rgb="FF969696"/>
      <name val="Trebuchet MS"/>
      <family val="2"/>
    </font>
    <font>
      <sz val="11"/>
      <color rgb="FF969696"/>
      <name val="Trebuchet MS"/>
      <family val="2"/>
    </font>
    <font>
      <sz val="8"/>
      <color rgb="FF0000FF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2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3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8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1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3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77" fontId="78" fillId="0" borderId="0" xfId="0" applyNumberFormat="1" applyFont="1" applyAlignment="1">
      <alignment vertical="center"/>
    </xf>
    <xf numFmtId="49" fontId="4" fillId="0" borderId="30" xfId="0" applyNumberFormat="1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176" fontId="4" fillId="0" borderId="31" xfId="0" applyNumberFormat="1" applyFont="1" applyBorder="1" applyAlignment="1">
      <alignment vertical="center"/>
    </xf>
    <xf numFmtId="0" fontId="88" fillId="0" borderId="0" xfId="0" applyFont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 horizontal="left"/>
    </xf>
    <xf numFmtId="176" fontId="88" fillId="0" borderId="0" xfId="0" applyNumberFormat="1" applyFont="1" applyBorder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4" fontId="88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176" fontId="90" fillId="0" borderId="31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174" fontId="78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91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92" fillId="0" borderId="31" xfId="0" applyFont="1" applyFill="1" applyBorder="1" applyAlignment="1" applyProtection="1">
      <alignment horizontal="center" vertical="center"/>
      <protection locked="0"/>
    </xf>
    <xf numFmtId="49" fontId="92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0" fontId="89" fillId="0" borderId="32" xfId="0" applyFont="1" applyBorder="1" applyAlignment="1">
      <alignment horizontal="left"/>
    </xf>
    <xf numFmtId="176" fontId="88" fillId="0" borderId="32" xfId="0" applyNumberFormat="1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177" fontId="4" fillId="0" borderId="33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77" fontId="4" fillId="0" borderId="36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/>
    </xf>
    <xf numFmtId="3" fontId="83" fillId="0" borderId="25" xfId="0" applyNumberFormat="1" applyFont="1" applyBorder="1" applyAlignment="1">
      <alignment horizontal="left"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88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88" fillId="0" borderId="32" xfId="0" applyNumberFormat="1" applyFont="1" applyBorder="1" applyAlignment="1">
      <alignment/>
    </xf>
    <xf numFmtId="177" fontId="90" fillId="0" borderId="31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16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79" fillId="0" borderId="37" xfId="0" applyFont="1" applyBorder="1" applyAlignment="1">
      <alignment vertical="center"/>
    </xf>
    <xf numFmtId="0" fontId="79" fillId="0" borderId="34" xfId="0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8" fillId="0" borderId="37" xfId="0" applyFont="1" applyBorder="1" applyAlignment="1">
      <alignment/>
    </xf>
    <xf numFmtId="0" fontId="88" fillId="0" borderId="34" xfId="0" applyFont="1" applyBorder="1" applyAlignment="1">
      <alignment/>
    </xf>
    <xf numFmtId="0" fontId="4" fillId="0" borderId="37" xfId="0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176" fontId="78" fillId="0" borderId="34" xfId="0" applyNumberFormat="1" applyFont="1" applyBorder="1" applyAlignment="1">
      <alignment vertical="center"/>
    </xf>
    <xf numFmtId="0" fontId="16" fillId="0" borderId="37" xfId="0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3" fontId="91" fillId="0" borderId="0" xfId="0" applyNumberFormat="1" applyFont="1" applyBorder="1" applyAlignment="1">
      <alignment vertical="center"/>
    </xf>
    <xf numFmtId="176" fontId="91" fillId="0" borderId="34" xfId="0" applyNumberFormat="1" applyFont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176" fontId="4" fillId="0" borderId="36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176" fontId="4" fillId="0" borderId="35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177" fontId="5" fillId="35" borderId="31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93" fillId="0" borderId="0" xfId="0" applyNumberFormat="1" applyFont="1" applyFill="1" applyBorder="1" applyAlignment="1">
      <alignment/>
    </xf>
    <xf numFmtId="0" fontId="88" fillId="0" borderId="32" xfId="0" applyFont="1" applyFill="1" applyBorder="1" applyAlignment="1">
      <alignment/>
    </xf>
    <xf numFmtId="0" fontId="89" fillId="0" borderId="32" xfId="0" applyFont="1" applyFill="1" applyBorder="1" applyAlignment="1">
      <alignment horizontal="left"/>
    </xf>
    <xf numFmtId="176" fontId="88" fillId="0" borderId="32" xfId="0" applyNumberFormat="1" applyFont="1" applyFill="1" applyBorder="1" applyAlignment="1">
      <alignment/>
    </xf>
    <xf numFmtId="177" fontId="88" fillId="0" borderId="32" xfId="0" applyNumberFormat="1" applyFont="1" applyFill="1" applyBorder="1" applyAlignment="1">
      <alignment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horizontal="center" vertical="center" wrapText="1"/>
    </xf>
    <xf numFmtId="176" fontId="91" fillId="0" borderId="38" xfId="0" applyNumberFormat="1" applyFont="1" applyFill="1" applyBorder="1" applyAlignment="1">
      <alignment horizontal="center" vertical="center" wrapText="1"/>
    </xf>
    <xf numFmtId="177" fontId="91" fillId="0" borderId="38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7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176" fontId="16" fillId="0" borderId="38" xfId="0" applyNumberFormat="1" applyFont="1" applyBorder="1" applyAlignment="1">
      <alignment vertical="center"/>
    </xf>
    <xf numFmtId="177" fontId="16" fillId="0" borderId="38" xfId="0" applyNumberFormat="1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41" xfId="0" applyFont="1" applyBorder="1" applyAlignment="1">
      <alignment/>
    </xf>
    <xf numFmtId="3" fontId="4" fillId="0" borderId="41" xfId="0" applyNumberFormat="1" applyFont="1" applyBorder="1" applyAlignment="1">
      <alignment/>
    </xf>
    <xf numFmtId="176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7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 horizontal="left" vertical="center"/>
    </xf>
    <xf numFmtId="3" fontId="78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4" fontId="95" fillId="0" borderId="0" xfId="0" applyNumberFormat="1" applyFont="1" applyAlignment="1">
      <alignment horizontal="center"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89" fillId="0" borderId="13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left"/>
    </xf>
    <xf numFmtId="177" fontId="89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9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0" fillId="0" borderId="42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4" fontId="97" fillId="0" borderId="22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vertical="center"/>
    </xf>
    <xf numFmtId="176" fontId="97" fillId="0" borderId="0" xfId="0" applyNumberFormat="1" applyFont="1" applyFill="1" applyBorder="1" applyAlignment="1">
      <alignment vertical="center"/>
    </xf>
    <xf numFmtId="4" fontId="97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98" fillId="0" borderId="24" xfId="0" applyNumberFormat="1" applyFont="1" applyFill="1" applyBorder="1" applyAlignment="1">
      <alignment vertical="center"/>
    </xf>
    <xf numFmtId="4" fontId="98" fillId="0" borderId="25" xfId="0" applyNumberFormat="1" applyFont="1" applyFill="1" applyBorder="1" applyAlignment="1">
      <alignment vertical="center"/>
    </xf>
    <xf numFmtId="176" fontId="98" fillId="0" borderId="25" xfId="0" applyNumberFormat="1" applyFont="1" applyFill="1" applyBorder="1" applyAlignment="1">
      <alignment vertical="center"/>
    </xf>
    <xf numFmtId="4" fontId="98" fillId="0" borderId="26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4" fontId="4" fillId="0" borderId="35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90" fillId="0" borderId="0" xfId="0" applyNumberFormat="1" applyFont="1" applyFill="1" applyBorder="1" applyAlignment="1" applyProtection="1">
      <alignment horizontal="right" vertical="center"/>
      <protection locked="0"/>
    </xf>
    <xf numFmtId="9" fontId="9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4" fillId="0" borderId="25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horizontal="left" vertical="center"/>
    </xf>
    <xf numFmtId="4" fontId="4" fillId="34" borderId="0" xfId="0" applyNumberFormat="1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16" fillId="0" borderId="3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89" fillId="0" borderId="32" xfId="0" applyNumberFormat="1" applyFont="1" applyFill="1" applyBorder="1" applyAlignment="1">
      <alignment horizontal="left"/>
    </xf>
    <xf numFmtId="4" fontId="4" fillId="0" borderId="31" xfId="0" applyNumberFormat="1" applyFont="1" applyBorder="1" applyAlignment="1" applyProtection="1">
      <alignment vertical="center"/>
      <protection locked="0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4" fontId="14" fillId="0" borderId="30" xfId="0" applyNumberFormat="1" applyFont="1" applyBorder="1" applyAlignment="1" applyProtection="1">
      <alignment vertical="center"/>
      <protection locked="0"/>
    </xf>
    <xf numFmtId="4" fontId="92" fillId="0" borderId="31" xfId="0" applyNumberFormat="1" applyFont="1" applyFill="1" applyBorder="1" applyAlignment="1" applyProtection="1">
      <alignment vertical="center"/>
      <protection locked="0"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4" fontId="89" fillId="0" borderId="0" xfId="0" applyNumberFormat="1" applyFont="1" applyBorder="1" applyAlignment="1">
      <alignment horizontal="left"/>
    </xf>
    <xf numFmtId="4" fontId="14" fillId="0" borderId="3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/>
      <protection locked="0"/>
    </xf>
    <xf numFmtId="4" fontId="90" fillId="0" borderId="0" xfId="0" applyNumberFormat="1" applyFont="1" applyFill="1" applyBorder="1" applyAlignment="1" applyProtection="1">
      <alignment vertical="center"/>
      <protection locked="0"/>
    </xf>
    <xf numFmtId="4" fontId="4" fillId="0" borderId="31" xfId="0" applyNumberFormat="1" applyFont="1" applyBorder="1" applyAlignment="1">
      <alignment vertical="center"/>
    </xf>
    <xf numFmtId="4" fontId="89" fillId="0" borderId="0" xfId="0" applyNumberFormat="1" applyFont="1" applyAlignment="1">
      <alignment horizontal="left"/>
    </xf>
    <xf numFmtId="4" fontId="4" fillId="0" borderId="33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9" fontId="99" fillId="0" borderId="0" xfId="0" applyNumberFormat="1" applyFont="1" applyFill="1" applyBorder="1" applyAlignment="1" applyProtection="1">
      <alignment vertical="center" wrapText="1"/>
      <protection locked="0"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4" fontId="89" fillId="0" borderId="0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17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3" fontId="100" fillId="0" borderId="0" xfId="0" applyNumberFormat="1" applyFont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4" fillId="34" borderId="0" xfId="0" applyNumberFormat="1" applyFont="1" applyFill="1" applyBorder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86" fillId="0" borderId="0" xfId="0" applyNumberFormat="1" applyFont="1" applyBorder="1" applyAlignment="1">
      <alignment vertical="center"/>
    </xf>
    <xf numFmtId="0" fontId="9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3" fontId="84" fillId="0" borderId="0" xfId="0" applyNumberFormat="1" applyFont="1" applyBorder="1" applyAlignment="1">
      <alignment horizontal="right" vertical="center"/>
    </xf>
    <xf numFmtId="3" fontId="84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89" fillId="0" borderId="0" xfId="0" applyNumberFormat="1" applyFont="1" applyBorder="1" applyAlignment="1">
      <alignment/>
    </xf>
    <xf numFmtId="3" fontId="89" fillId="0" borderId="0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5" fillId="34" borderId="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44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8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4" fillId="0" borderId="45" xfId="0" applyNumberFormat="1" applyFont="1" applyBorder="1" applyAlignment="1" applyProtection="1">
      <alignment vertical="center"/>
      <protection locked="0"/>
    </xf>
    <xf numFmtId="4" fontId="4" fillId="0" borderId="46" xfId="0" applyNumberFormat="1" applyFont="1" applyBorder="1" applyAlignment="1" applyProtection="1">
      <alignment vertical="center"/>
      <protection locked="0"/>
    </xf>
    <xf numFmtId="3" fontId="4" fillId="0" borderId="31" xfId="0" applyNumberFormat="1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5" fillId="35" borderId="31" xfId="0" applyFont="1" applyFill="1" applyBorder="1" applyAlignment="1">
      <alignment horizontal="center" vertical="center" wrapText="1"/>
    </xf>
    <xf numFmtId="3" fontId="89" fillId="0" borderId="25" xfId="0" applyNumberFormat="1" applyFont="1" applyBorder="1" applyAlignment="1">
      <alignment/>
    </xf>
    <xf numFmtId="3" fontId="89" fillId="0" borderId="25" xfId="0" applyNumberFormat="1" applyFont="1" applyBorder="1" applyAlignment="1">
      <alignment vertical="center"/>
    </xf>
    <xf numFmtId="0" fontId="92" fillId="0" borderId="45" xfId="0" applyFont="1" applyFill="1" applyBorder="1" applyAlignment="1" applyProtection="1">
      <alignment horizontal="left" vertical="center" wrapText="1"/>
      <protection locked="0"/>
    </xf>
    <xf numFmtId="0" fontId="92" fillId="0" borderId="47" xfId="0" applyFont="1" applyFill="1" applyBorder="1" applyAlignment="1" applyProtection="1">
      <alignment horizontal="left" vertical="center" wrapText="1"/>
      <protection locked="0"/>
    </xf>
    <xf numFmtId="0" fontId="92" fillId="0" borderId="46" xfId="0" applyFont="1" applyFill="1" applyBorder="1" applyAlignment="1" applyProtection="1">
      <alignment horizontal="left" vertical="center" wrapText="1"/>
      <protection locked="0"/>
    </xf>
    <xf numFmtId="4" fontId="92" fillId="0" borderId="45" xfId="0" applyNumberFormat="1" applyFont="1" applyBorder="1" applyAlignment="1" applyProtection="1">
      <alignment vertical="center"/>
      <protection locked="0"/>
    </xf>
    <xf numFmtId="4" fontId="92" fillId="0" borderId="46" xfId="0" applyNumberFormat="1" applyFont="1" applyBorder="1" applyAlignment="1" applyProtection="1">
      <alignment vertical="center"/>
      <protection locked="0"/>
    </xf>
    <xf numFmtId="3" fontId="92" fillId="0" borderId="45" xfId="0" applyNumberFormat="1" applyFont="1" applyBorder="1" applyAlignment="1" applyProtection="1">
      <alignment vertical="center"/>
      <protection locked="0"/>
    </xf>
    <xf numFmtId="3" fontId="92" fillId="0" borderId="47" xfId="0" applyNumberFormat="1" applyFont="1" applyBorder="1" applyAlignment="1" applyProtection="1">
      <alignment vertical="center"/>
      <protection locked="0"/>
    </xf>
    <xf numFmtId="3" fontId="92" fillId="0" borderId="46" xfId="0" applyNumberFormat="1" applyFont="1" applyBorder="1" applyAlignment="1" applyProtection="1">
      <alignment vertical="center"/>
      <protection locked="0"/>
    </xf>
    <xf numFmtId="3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0" fontId="92" fillId="0" borderId="31" xfId="0" applyFont="1" applyFill="1" applyBorder="1" applyAlignment="1" applyProtection="1">
      <alignment horizontal="left" vertical="center" wrapText="1"/>
      <protection locked="0"/>
    </xf>
    <xf numFmtId="0" fontId="92" fillId="0" borderId="31" xfId="0" applyFont="1" applyFill="1" applyBorder="1" applyAlignment="1" applyProtection="1">
      <alignment vertical="center"/>
      <protection locked="0"/>
    </xf>
    <xf numFmtId="4" fontId="92" fillId="0" borderId="31" xfId="0" applyNumberFormat="1" applyFont="1" applyBorder="1" applyAlignment="1" applyProtection="1">
      <alignment vertical="center"/>
      <protection locked="0"/>
    </xf>
    <xf numFmtId="3" fontId="92" fillId="0" borderId="31" xfId="0" applyNumberFormat="1" applyFont="1" applyBorder="1" applyAlignment="1" applyProtection="1">
      <alignment vertical="center"/>
      <protection locked="0"/>
    </xf>
    <xf numFmtId="3" fontId="90" fillId="0" borderId="31" xfId="0" applyNumberFormat="1" applyFont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4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8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89" fillId="0" borderId="32" xfId="0" applyNumberFormat="1" applyFont="1" applyFill="1" applyBorder="1" applyAlignment="1">
      <alignment/>
    </xf>
    <xf numFmtId="3" fontId="89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/>
    </xf>
    <xf numFmtId="4" fontId="4" fillId="0" borderId="36" xfId="0" applyNumberFormat="1" applyFont="1" applyBorder="1" applyAlignment="1" applyProtection="1">
      <alignment horizontal="right" vertical="center"/>
      <protection locked="0"/>
    </xf>
    <xf numFmtId="3" fontId="4" fillId="0" borderId="36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3" fontId="5" fillId="35" borderId="31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/>
    </xf>
    <xf numFmtId="3" fontId="89" fillId="0" borderId="32" xfId="0" applyNumberFormat="1" applyFont="1" applyBorder="1" applyAlignment="1">
      <alignment/>
    </xf>
    <xf numFmtId="3" fontId="89" fillId="0" borderId="32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" fontId="5" fillId="35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92"/>
  <sheetViews>
    <sheetView showGridLines="0" tabSelected="1" zoomScalePageLayoutView="0" workbookViewId="0" topLeftCell="A1">
      <selection activeCell="L44" sqref="L4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263" customWidth="1"/>
    <col min="45" max="46" width="25.8515625" style="263" hidden="1" customWidth="1"/>
    <col min="47" max="47" width="25.00390625" style="263" hidden="1" customWidth="1"/>
    <col min="48" max="52" width="21.7109375" style="263" hidden="1" customWidth="1"/>
    <col min="53" max="53" width="19.140625" style="263" hidden="1" customWidth="1"/>
    <col min="54" max="54" width="25.00390625" style="263" hidden="1" customWidth="1"/>
    <col min="55" max="56" width="19.140625" style="263" hidden="1" customWidth="1"/>
    <col min="57" max="57" width="66.421875" style="263" customWidth="1"/>
    <col min="58" max="70" width="9.28125" style="0" customWidth="1"/>
    <col min="71" max="89" width="0" style="0" hidden="1" customWidth="1"/>
  </cols>
  <sheetData>
    <row r="1" spans="3:72" ht="12.75" customHeight="1">
      <c r="C1" s="398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R1" s="387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S1" s="8"/>
      <c r="BT1" s="8"/>
    </row>
    <row r="2" spans="2:72" ht="6.7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S2" s="8" t="s">
        <v>2</v>
      </c>
      <c r="BT2" s="8" t="s">
        <v>3</v>
      </c>
    </row>
    <row r="3" spans="2:71" ht="36.75" customHeight="1">
      <c r="B3" s="12"/>
      <c r="C3" s="385" t="s">
        <v>4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14"/>
      <c r="AS3" s="264" t="s">
        <v>5</v>
      </c>
      <c r="BS3" s="8" t="s">
        <v>6</v>
      </c>
    </row>
    <row r="4" spans="2:71" ht="14.25" customHeight="1">
      <c r="B4" s="12"/>
      <c r="C4" s="13"/>
      <c r="D4" s="15" t="s">
        <v>7</v>
      </c>
      <c r="E4" s="13"/>
      <c r="F4" s="13"/>
      <c r="G4" s="13"/>
      <c r="H4" s="13"/>
      <c r="I4" s="13"/>
      <c r="J4" s="13"/>
      <c r="K4" s="400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13"/>
      <c r="AQ4" s="14"/>
      <c r="BS4" s="8" t="s">
        <v>2</v>
      </c>
    </row>
    <row r="5" spans="2:71" ht="36.75" customHeight="1">
      <c r="B5" s="12"/>
      <c r="C5" s="13"/>
      <c r="D5" s="17" t="s">
        <v>9</v>
      </c>
      <c r="E5" s="13"/>
      <c r="F5" s="13"/>
      <c r="G5" s="13"/>
      <c r="H5" s="13"/>
      <c r="I5" s="13"/>
      <c r="J5" s="13"/>
      <c r="K5" s="363" t="s">
        <v>251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13"/>
      <c r="AQ5" s="14"/>
      <c r="BS5" s="8" t="s">
        <v>11</v>
      </c>
    </row>
    <row r="6" spans="2:71" ht="14.25" customHeight="1">
      <c r="B6" s="12"/>
      <c r="C6" s="13"/>
      <c r="D6" s="18" t="s">
        <v>12</v>
      </c>
      <c r="E6" s="13"/>
      <c r="F6" s="13"/>
      <c r="G6" s="13"/>
      <c r="H6" s="13"/>
      <c r="I6" s="13"/>
      <c r="J6" s="13"/>
      <c r="K6" s="16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8" t="s">
        <v>13</v>
      </c>
      <c r="AL6" s="13"/>
      <c r="AM6" s="13"/>
      <c r="AN6" s="16" t="s">
        <v>0</v>
      </c>
      <c r="AO6" s="13"/>
      <c r="AP6" s="13"/>
      <c r="AQ6" s="14"/>
      <c r="BS6" s="8" t="s">
        <v>14</v>
      </c>
    </row>
    <row r="7" spans="2:71" ht="14.25" customHeight="1">
      <c r="B7" s="12"/>
      <c r="C7" s="13"/>
      <c r="D7" s="18" t="s">
        <v>15</v>
      </c>
      <c r="E7" s="13"/>
      <c r="F7" s="13"/>
      <c r="G7" s="13"/>
      <c r="H7" s="13"/>
      <c r="I7" s="13"/>
      <c r="J7" s="13"/>
      <c r="K7" s="16" t="s">
        <v>16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8" t="s">
        <v>17</v>
      </c>
      <c r="AL7" s="13"/>
      <c r="AM7" s="13"/>
      <c r="AN7" s="253">
        <v>43888</v>
      </c>
      <c r="AO7" s="13"/>
      <c r="AP7" s="13"/>
      <c r="AQ7" s="14"/>
      <c r="BS7" s="8" t="s">
        <v>18</v>
      </c>
    </row>
    <row r="8" spans="2:71" ht="14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4"/>
      <c r="BS8" s="8" t="s">
        <v>19</v>
      </c>
    </row>
    <row r="9" spans="2:71" ht="14.25" customHeight="1">
      <c r="B9" s="12"/>
      <c r="C9" s="13"/>
      <c r="D9" s="18" t="s">
        <v>20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8" t="s">
        <v>21</v>
      </c>
      <c r="AL9" s="13"/>
      <c r="AM9" s="13"/>
      <c r="AN9" s="16" t="s">
        <v>0</v>
      </c>
      <c r="AO9" s="13"/>
      <c r="AP9" s="13"/>
      <c r="AQ9" s="14"/>
      <c r="BS9" s="8" t="s">
        <v>11</v>
      </c>
    </row>
    <row r="10" spans="2:71" ht="18" customHeight="1">
      <c r="B10" s="12"/>
      <c r="C10" s="13"/>
      <c r="D10" s="13"/>
      <c r="E10" s="16" t="s">
        <v>16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8" t="s">
        <v>22</v>
      </c>
      <c r="AL10" s="13"/>
      <c r="AM10" s="13"/>
      <c r="AN10" s="16" t="s">
        <v>0</v>
      </c>
      <c r="AO10" s="13"/>
      <c r="AP10" s="13"/>
      <c r="AQ10" s="14"/>
      <c r="BS10" s="8" t="s">
        <v>11</v>
      </c>
    </row>
    <row r="11" spans="2:71" ht="6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4"/>
      <c r="BS11" s="8" t="s">
        <v>11</v>
      </c>
    </row>
    <row r="12" spans="2:71" ht="14.25" customHeight="1">
      <c r="B12" s="12"/>
      <c r="C12" s="13"/>
      <c r="D12" s="18" t="s">
        <v>23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8" t="s">
        <v>21</v>
      </c>
      <c r="AL12" s="13"/>
      <c r="AM12" s="13"/>
      <c r="AN12" s="16" t="s">
        <v>0</v>
      </c>
      <c r="AO12" s="13"/>
      <c r="AP12" s="13"/>
      <c r="AQ12" s="14"/>
      <c r="BS12" s="8" t="s">
        <v>11</v>
      </c>
    </row>
    <row r="13" spans="2:71" ht="15">
      <c r="B13" s="12"/>
      <c r="C13" s="13"/>
      <c r="D13" s="13"/>
      <c r="E13" s="16" t="s">
        <v>16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8" t="s">
        <v>22</v>
      </c>
      <c r="AL13" s="13"/>
      <c r="AM13" s="13"/>
      <c r="AN13" s="16" t="s">
        <v>0</v>
      </c>
      <c r="AO13" s="13"/>
      <c r="AP13" s="13"/>
      <c r="AQ13" s="14"/>
      <c r="BS13" s="8" t="s">
        <v>11</v>
      </c>
    </row>
    <row r="14" spans="2:71" ht="6.7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/>
      <c r="BS14" s="8" t="s">
        <v>1</v>
      </c>
    </row>
    <row r="15" spans="2:71" ht="14.25" customHeight="1">
      <c r="B15" s="12"/>
      <c r="C15" s="13"/>
      <c r="D15" s="18" t="s">
        <v>24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8" t="s">
        <v>21</v>
      </c>
      <c r="AL15" s="13"/>
      <c r="AM15" s="13"/>
      <c r="AN15" s="16" t="s">
        <v>0</v>
      </c>
      <c r="AO15" s="13"/>
      <c r="AP15" s="13"/>
      <c r="AQ15" s="14"/>
      <c r="BS15" s="8" t="s">
        <v>1</v>
      </c>
    </row>
    <row r="16" spans="2:71" ht="18" customHeight="1">
      <c r="B16" s="12"/>
      <c r="C16" s="13"/>
      <c r="D16" s="13"/>
      <c r="E16" s="16" t="s">
        <v>16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8" t="s">
        <v>22</v>
      </c>
      <c r="AL16" s="13"/>
      <c r="AM16" s="13"/>
      <c r="AN16" s="16" t="s">
        <v>0</v>
      </c>
      <c r="AO16" s="13"/>
      <c r="AP16" s="13"/>
      <c r="AQ16" s="14"/>
      <c r="BS16" s="8" t="s">
        <v>25</v>
      </c>
    </row>
    <row r="17" spans="2:71" ht="6.7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4"/>
      <c r="BS17" s="8" t="s">
        <v>2</v>
      </c>
    </row>
    <row r="18" spans="2:71" ht="14.25" customHeight="1">
      <c r="B18" s="12"/>
      <c r="C18" s="13"/>
      <c r="D18" s="18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8" t="s">
        <v>21</v>
      </c>
      <c r="AL18" s="13"/>
      <c r="AM18" s="13"/>
      <c r="AN18" s="16" t="s">
        <v>0</v>
      </c>
      <c r="AO18" s="13"/>
      <c r="AP18" s="13"/>
      <c r="AQ18" s="14"/>
      <c r="BS18" s="8" t="s">
        <v>2</v>
      </c>
    </row>
    <row r="19" spans="2:43" ht="18" customHeight="1">
      <c r="B19" s="12"/>
      <c r="C19" s="13"/>
      <c r="D19" s="13"/>
      <c r="E19" s="16" t="s">
        <v>16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8" t="s">
        <v>22</v>
      </c>
      <c r="AL19" s="13"/>
      <c r="AM19" s="13"/>
      <c r="AN19" s="16" t="s">
        <v>0</v>
      </c>
      <c r="AO19" s="13"/>
      <c r="AP19" s="13"/>
      <c r="AQ19" s="14"/>
    </row>
    <row r="20" spans="2:43" ht="6.75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4"/>
    </row>
    <row r="21" spans="2:43" ht="15">
      <c r="B21" s="12"/>
      <c r="C21" s="13"/>
      <c r="D21" s="18" t="s">
        <v>27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</row>
    <row r="22" spans="2:43" ht="22.5" customHeight="1">
      <c r="B22" s="12"/>
      <c r="C22" s="13"/>
      <c r="D22" s="13"/>
      <c r="E22" s="365" t="s">
        <v>0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13"/>
      <c r="AP22" s="13"/>
      <c r="AQ22" s="14"/>
    </row>
    <row r="23" spans="2:57" ht="6.7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P23" s="13"/>
      <c r="AQ23" s="14"/>
      <c r="BA23" s="265"/>
      <c r="BB23" s="265"/>
      <c r="BC23" s="265"/>
      <c r="BD23" s="265"/>
      <c r="BE23" s="265"/>
    </row>
    <row r="24" spans="2:43" ht="6.75" customHeight="1">
      <c r="B24" s="12"/>
      <c r="C24" s="1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4"/>
    </row>
    <row r="25" spans="2:43" ht="14.25" customHeight="1">
      <c r="B25" s="12"/>
      <c r="C25" s="13"/>
      <c r="D25" s="20" t="s">
        <v>28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366">
        <f>ROUND(AG86,2)</f>
        <v>0</v>
      </c>
      <c r="AM25" s="367"/>
      <c r="AN25" s="367"/>
      <c r="AO25" s="367"/>
      <c r="AP25" s="367"/>
      <c r="AQ25" s="14"/>
    </row>
    <row r="26" spans="2:43" ht="14.25" customHeight="1">
      <c r="B26" s="12"/>
      <c r="C26" s="13"/>
      <c r="D26" s="20" t="s">
        <v>29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366">
        <f>ROUND(AG89,2)</f>
        <v>0</v>
      </c>
      <c r="AM26" s="367"/>
      <c r="AN26" s="367"/>
      <c r="AO26" s="367"/>
      <c r="AP26" s="367"/>
      <c r="AQ26" s="14"/>
    </row>
    <row r="27" spans="2:57" s="1" customFormat="1" ht="6.7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35"/>
      <c r="AM27" s="135"/>
      <c r="AN27" s="135"/>
      <c r="AO27" s="135"/>
      <c r="AP27" s="135"/>
      <c r="AQ27" s="23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</row>
    <row r="28" spans="2:57" s="1" customFormat="1" ht="25.5" customHeight="1">
      <c r="B28" s="21"/>
      <c r="C28" s="22"/>
      <c r="D28" s="24" t="s">
        <v>30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2"/>
      <c r="AL28" s="373">
        <f>ROUND(AL25+AL26,2)</f>
        <v>0</v>
      </c>
      <c r="AM28" s="374"/>
      <c r="AN28" s="374"/>
      <c r="AO28" s="374"/>
      <c r="AP28" s="374"/>
      <c r="AQ28" s="23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</row>
    <row r="29" spans="2:57" s="1" customFormat="1" ht="6.75" customHeigh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35"/>
      <c r="AM29" s="135"/>
      <c r="AN29" s="135"/>
      <c r="AO29" s="135"/>
      <c r="AP29" s="135"/>
      <c r="AQ29" s="23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2:57" s="2" customFormat="1" ht="14.25" customHeight="1">
      <c r="B30" s="26"/>
      <c r="C30" s="27"/>
      <c r="D30" s="28" t="s">
        <v>31</v>
      </c>
      <c r="E30" s="27"/>
      <c r="F30" s="28" t="s">
        <v>32</v>
      </c>
      <c r="G30" s="27"/>
      <c r="H30" s="27"/>
      <c r="I30" s="27"/>
      <c r="J30" s="27"/>
      <c r="K30" s="27"/>
      <c r="L30" s="368">
        <v>0.21</v>
      </c>
      <c r="M30" s="369"/>
      <c r="N30" s="369"/>
      <c r="O30" s="369"/>
      <c r="P30" s="27"/>
      <c r="Q30" s="27"/>
      <c r="R30" s="27"/>
      <c r="S30" s="27"/>
      <c r="T30" s="29" t="s">
        <v>33</v>
      </c>
      <c r="U30" s="27"/>
      <c r="V30" s="27"/>
      <c r="W30" s="371">
        <f>ROUND(AZ86+SUM(CD90:CD90),2)</f>
        <v>0</v>
      </c>
      <c r="X30" s="372"/>
      <c r="Y30" s="372"/>
      <c r="Z30" s="372"/>
      <c r="AA30" s="372"/>
      <c r="AB30" s="372"/>
      <c r="AC30" s="372"/>
      <c r="AD30" s="372"/>
      <c r="AE30" s="372"/>
      <c r="AF30" s="27"/>
      <c r="AG30" s="27"/>
      <c r="AH30" s="27"/>
      <c r="AI30" s="27"/>
      <c r="AJ30" s="27"/>
      <c r="AK30" s="250"/>
      <c r="AL30" s="371">
        <f>ROUND(AV86+SUM(BY90:BY90),2)</f>
        <v>0</v>
      </c>
      <c r="AM30" s="372"/>
      <c r="AN30" s="372"/>
      <c r="AO30" s="372"/>
      <c r="AP30" s="372"/>
      <c r="AQ30" s="30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</row>
    <row r="31" spans="2:57" s="2" customFormat="1" ht="14.25" customHeight="1">
      <c r="B31" s="26"/>
      <c r="C31" s="27"/>
      <c r="D31" s="27"/>
      <c r="E31" s="27"/>
      <c r="F31" s="28" t="s">
        <v>34</v>
      </c>
      <c r="G31" s="27"/>
      <c r="H31" s="27"/>
      <c r="I31" s="27"/>
      <c r="J31" s="27"/>
      <c r="K31" s="27"/>
      <c r="L31" s="368">
        <v>0.15</v>
      </c>
      <c r="M31" s="369"/>
      <c r="N31" s="369"/>
      <c r="O31" s="369"/>
      <c r="P31" s="27"/>
      <c r="Q31" s="27"/>
      <c r="R31" s="27"/>
      <c r="S31" s="27"/>
      <c r="T31" s="29" t="s">
        <v>33</v>
      </c>
      <c r="U31" s="27"/>
      <c r="V31" s="27"/>
      <c r="W31" s="370">
        <f>ROUND(BA86+SUM(CE90:CE90),2)</f>
        <v>0</v>
      </c>
      <c r="X31" s="369"/>
      <c r="Y31" s="369"/>
      <c r="Z31" s="369"/>
      <c r="AA31" s="369"/>
      <c r="AB31" s="369"/>
      <c r="AC31" s="369"/>
      <c r="AD31" s="369"/>
      <c r="AE31" s="369"/>
      <c r="AF31" s="27"/>
      <c r="AG31" s="27"/>
      <c r="AH31" s="27"/>
      <c r="AI31" s="27"/>
      <c r="AJ31" s="27"/>
      <c r="AK31" s="250"/>
      <c r="AL31" s="371">
        <f>ROUND(AW86+SUM(BZ90:BZ90),2)</f>
        <v>0</v>
      </c>
      <c r="AM31" s="372"/>
      <c r="AN31" s="372"/>
      <c r="AO31" s="372"/>
      <c r="AP31" s="372"/>
      <c r="AQ31" s="30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</row>
    <row r="32" spans="2:57" s="2" customFormat="1" ht="14.25" customHeight="1" hidden="1">
      <c r="B32" s="26"/>
      <c r="C32" s="27"/>
      <c r="D32" s="27"/>
      <c r="E32" s="27"/>
      <c r="F32" s="28" t="s">
        <v>35</v>
      </c>
      <c r="G32" s="27"/>
      <c r="H32" s="27"/>
      <c r="I32" s="27"/>
      <c r="J32" s="27"/>
      <c r="K32" s="27"/>
      <c r="L32" s="368">
        <v>0.21</v>
      </c>
      <c r="M32" s="369"/>
      <c r="N32" s="369"/>
      <c r="O32" s="369"/>
      <c r="P32" s="27"/>
      <c r="Q32" s="27"/>
      <c r="R32" s="27"/>
      <c r="S32" s="27"/>
      <c r="T32" s="29" t="s">
        <v>33</v>
      </c>
      <c r="U32" s="27"/>
      <c r="V32" s="27"/>
      <c r="W32" s="370" t="e">
        <f>ROUND(BB86+SUM(CF90:CF90),2)</f>
        <v>#REF!</v>
      </c>
      <c r="X32" s="369"/>
      <c r="Y32" s="369"/>
      <c r="Z32" s="369"/>
      <c r="AA32" s="369"/>
      <c r="AB32" s="369"/>
      <c r="AC32" s="369"/>
      <c r="AD32" s="369"/>
      <c r="AE32" s="369"/>
      <c r="AF32" s="27"/>
      <c r="AG32" s="27"/>
      <c r="AH32" s="27"/>
      <c r="AI32" s="27"/>
      <c r="AJ32" s="27"/>
      <c r="AK32" s="250"/>
      <c r="AL32" s="371">
        <v>0</v>
      </c>
      <c r="AM32" s="372"/>
      <c r="AN32" s="372"/>
      <c r="AO32" s="372"/>
      <c r="AP32" s="372"/>
      <c r="AQ32" s="30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</row>
    <row r="33" spans="2:57" s="2" customFormat="1" ht="14.25" customHeight="1" hidden="1">
      <c r="B33" s="26"/>
      <c r="C33" s="27"/>
      <c r="D33" s="27"/>
      <c r="E33" s="27"/>
      <c r="F33" s="28" t="s">
        <v>36</v>
      </c>
      <c r="G33" s="27"/>
      <c r="H33" s="27"/>
      <c r="I33" s="27"/>
      <c r="J33" s="27"/>
      <c r="K33" s="27"/>
      <c r="L33" s="368">
        <v>0.15</v>
      </c>
      <c r="M33" s="369"/>
      <c r="N33" s="369"/>
      <c r="O33" s="369"/>
      <c r="P33" s="27"/>
      <c r="Q33" s="27"/>
      <c r="R33" s="27"/>
      <c r="S33" s="27"/>
      <c r="T33" s="29" t="s">
        <v>33</v>
      </c>
      <c r="U33" s="27"/>
      <c r="V33" s="27"/>
      <c r="W33" s="370" t="e">
        <f>ROUND(BC86+SUM(CG90:CG90),2)</f>
        <v>#REF!</v>
      </c>
      <c r="X33" s="369"/>
      <c r="Y33" s="369"/>
      <c r="Z33" s="369"/>
      <c r="AA33" s="369"/>
      <c r="AB33" s="369"/>
      <c r="AC33" s="369"/>
      <c r="AD33" s="369"/>
      <c r="AE33" s="369"/>
      <c r="AF33" s="27"/>
      <c r="AG33" s="27"/>
      <c r="AH33" s="27"/>
      <c r="AI33" s="27"/>
      <c r="AJ33" s="27"/>
      <c r="AK33" s="250"/>
      <c r="AL33" s="371">
        <v>0</v>
      </c>
      <c r="AM33" s="372"/>
      <c r="AN33" s="372"/>
      <c r="AO33" s="372"/>
      <c r="AP33" s="372"/>
      <c r="AQ33" s="30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</row>
    <row r="34" spans="2:57" s="2" customFormat="1" ht="14.25" customHeight="1" hidden="1">
      <c r="B34" s="26"/>
      <c r="C34" s="27"/>
      <c r="D34" s="27"/>
      <c r="E34" s="27"/>
      <c r="F34" s="28" t="s">
        <v>37</v>
      </c>
      <c r="G34" s="27"/>
      <c r="H34" s="27"/>
      <c r="I34" s="27"/>
      <c r="J34" s="27"/>
      <c r="K34" s="27"/>
      <c r="L34" s="368">
        <v>0</v>
      </c>
      <c r="M34" s="369"/>
      <c r="N34" s="369"/>
      <c r="O34" s="369"/>
      <c r="P34" s="27"/>
      <c r="Q34" s="27"/>
      <c r="R34" s="27"/>
      <c r="S34" s="27"/>
      <c r="T34" s="29" t="s">
        <v>33</v>
      </c>
      <c r="U34" s="27"/>
      <c r="V34" s="27"/>
      <c r="W34" s="370" t="e">
        <f>ROUND(BD86+SUM(CH90:CH90),2)</f>
        <v>#REF!</v>
      </c>
      <c r="X34" s="369"/>
      <c r="Y34" s="369"/>
      <c r="Z34" s="369"/>
      <c r="AA34" s="369"/>
      <c r="AB34" s="369"/>
      <c r="AC34" s="369"/>
      <c r="AD34" s="369"/>
      <c r="AE34" s="369"/>
      <c r="AF34" s="27"/>
      <c r="AG34" s="27"/>
      <c r="AH34" s="27"/>
      <c r="AI34" s="27"/>
      <c r="AJ34" s="27"/>
      <c r="AK34" s="250"/>
      <c r="AL34" s="371">
        <v>0</v>
      </c>
      <c r="AM34" s="372"/>
      <c r="AN34" s="372"/>
      <c r="AO34" s="372"/>
      <c r="AP34" s="372"/>
      <c r="AQ34" s="30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</row>
    <row r="35" spans="2:57" s="1" customFormat="1" ht="6.75" customHeight="1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135"/>
      <c r="AM35" s="135"/>
      <c r="AN35" s="135"/>
      <c r="AO35" s="135"/>
      <c r="AP35" s="135"/>
      <c r="AQ35" s="23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</row>
    <row r="36" spans="2:57" s="1" customFormat="1" ht="25.5" customHeight="1">
      <c r="B36" s="21"/>
      <c r="C36" s="31"/>
      <c r="D36" s="32" t="s">
        <v>38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 t="s">
        <v>39</v>
      </c>
      <c r="U36" s="33"/>
      <c r="V36" s="33"/>
      <c r="W36" s="33"/>
      <c r="X36" s="380" t="s">
        <v>40</v>
      </c>
      <c r="Y36" s="381"/>
      <c r="Z36" s="381"/>
      <c r="AA36" s="381"/>
      <c r="AB36" s="381"/>
      <c r="AC36" s="33"/>
      <c r="AD36" s="33"/>
      <c r="AE36" s="33"/>
      <c r="AF36" s="33"/>
      <c r="AG36" s="33"/>
      <c r="AH36" s="33"/>
      <c r="AI36" s="33"/>
      <c r="AJ36" s="33"/>
      <c r="AK36" s="251"/>
      <c r="AL36" s="382">
        <f>SUM(AL28:AL34)</f>
        <v>0</v>
      </c>
      <c r="AM36" s="383"/>
      <c r="AN36" s="383"/>
      <c r="AO36" s="383"/>
      <c r="AP36" s="384"/>
      <c r="AQ36" s="23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</row>
    <row r="37" spans="2:57" s="1" customFormat="1" ht="14.25" customHeigh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3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</row>
    <row r="38" spans="2:43" ht="13.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4"/>
    </row>
    <row r="39" spans="2:43" ht="13.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4"/>
    </row>
    <row r="40" spans="2:43" ht="13.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4"/>
    </row>
    <row r="41" spans="2:43" ht="13.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4"/>
    </row>
    <row r="42" spans="2:43" ht="13.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/>
    </row>
    <row r="43" spans="2:43" ht="13.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4"/>
    </row>
    <row r="44" spans="2:43" ht="13.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4"/>
    </row>
    <row r="45" spans="2:43" ht="13.5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4"/>
    </row>
    <row r="46" spans="2:43" ht="13.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4"/>
    </row>
    <row r="47" spans="2:43" ht="13.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4"/>
    </row>
    <row r="48" spans="2:57" s="1" customFormat="1" ht="15">
      <c r="B48" s="21"/>
      <c r="C48" s="22"/>
      <c r="D48" s="35" t="s">
        <v>41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22"/>
      <c r="AB48" s="22"/>
      <c r="AC48" s="35" t="s">
        <v>42</v>
      </c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7"/>
      <c r="AP48" s="22"/>
      <c r="AQ48" s="23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</row>
    <row r="49" spans="2:43" ht="13.5">
      <c r="B49" s="12"/>
      <c r="C49" s="13"/>
      <c r="D49" s="3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39"/>
      <c r="AA49" s="13"/>
      <c r="AB49" s="13"/>
      <c r="AC49" s="38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39"/>
      <c r="AP49" s="13"/>
      <c r="AQ49" s="14"/>
    </row>
    <row r="50" spans="2:43" ht="13.5">
      <c r="B50" s="12"/>
      <c r="C50" s="13"/>
      <c r="D50" s="38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9"/>
      <c r="AA50" s="13"/>
      <c r="AB50" s="13"/>
      <c r="AC50" s="38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39"/>
      <c r="AP50" s="13"/>
      <c r="AQ50" s="14"/>
    </row>
    <row r="51" spans="2:43" ht="13.5">
      <c r="B51" s="12"/>
      <c r="C51" s="13"/>
      <c r="D51" s="3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9"/>
      <c r="AA51" s="13"/>
      <c r="AB51" s="13"/>
      <c r="AC51" s="38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39"/>
      <c r="AP51" s="13"/>
      <c r="AQ51" s="14"/>
    </row>
    <row r="52" spans="2:43" ht="13.5">
      <c r="B52" s="12"/>
      <c r="C52" s="13"/>
      <c r="D52" s="3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9"/>
      <c r="AA52" s="13"/>
      <c r="AB52" s="13"/>
      <c r="AC52" s="38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39"/>
      <c r="AP52" s="13"/>
      <c r="AQ52" s="14"/>
    </row>
    <row r="53" spans="2:43" ht="13.5">
      <c r="B53" s="12"/>
      <c r="C53" s="13"/>
      <c r="D53" s="3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9"/>
      <c r="AA53" s="13"/>
      <c r="AB53" s="13"/>
      <c r="AC53" s="38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39"/>
      <c r="AP53" s="13"/>
      <c r="AQ53" s="14"/>
    </row>
    <row r="54" spans="2:43" ht="13.5">
      <c r="B54" s="12"/>
      <c r="C54" s="13"/>
      <c r="D54" s="3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9"/>
      <c r="AA54" s="13"/>
      <c r="AB54" s="13"/>
      <c r="AC54" s="38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39"/>
      <c r="AP54" s="13"/>
      <c r="AQ54" s="14"/>
    </row>
    <row r="55" spans="2:43" ht="13.5">
      <c r="B55" s="12"/>
      <c r="C55" s="13"/>
      <c r="D55" s="38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9"/>
      <c r="AA55" s="13"/>
      <c r="AB55" s="13"/>
      <c r="AC55" s="38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39"/>
      <c r="AP55" s="13"/>
      <c r="AQ55" s="14"/>
    </row>
    <row r="56" spans="2:43" ht="13.5">
      <c r="B56" s="12"/>
      <c r="C56" s="13"/>
      <c r="D56" s="38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39"/>
      <c r="AA56" s="13"/>
      <c r="AB56" s="13"/>
      <c r="AC56" s="38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39"/>
      <c r="AP56" s="13"/>
      <c r="AQ56" s="14"/>
    </row>
    <row r="57" spans="2:57" s="1" customFormat="1" ht="15">
      <c r="B57" s="21"/>
      <c r="C57" s="22"/>
      <c r="D57" s="40" t="s">
        <v>43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 t="s">
        <v>44</v>
      </c>
      <c r="S57" s="41"/>
      <c r="T57" s="41"/>
      <c r="U57" s="41"/>
      <c r="V57" s="41"/>
      <c r="W57" s="41"/>
      <c r="X57" s="41"/>
      <c r="Y57" s="41"/>
      <c r="Z57" s="43"/>
      <c r="AA57" s="22"/>
      <c r="AB57" s="22"/>
      <c r="AC57" s="40" t="s">
        <v>43</v>
      </c>
      <c r="AD57" s="41"/>
      <c r="AE57" s="41"/>
      <c r="AF57" s="41"/>
      <c r="AG57" s="41"/>
      <c r="AH57" s="41"/>
      <c r="AI57" s="41"/>
      <c r="AJ57" s="41"/>
      <c r="AK57" s="41"/>
      <c r="AL57" s="41"/>
      <c r="AM57" s="42" t="s">
        <v>44</v>
      </c>
      <c r="AN57" s="41"/>
      <c r="AO57" s="43"/>
      <c r="AP57" s="22"/>
      <c r="AQ57" s="23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</row>
    <row r="58" spans="2:43" ht="13.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4"/>
    </row>
    <row r="59" spans="2:57" s="1" customFormat="1" ht="15">
      <c r="B59" s="21"/>
      <c r="C59" s="22"/>
      <c r="D59" s="35" t="s">
        <v>45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7"/>
      <c r="AA59" s="22"/>
      <c r="AB59" s="22"/>
      <c r="AC59" s="35" t="s">
        <v>46</v>
      </c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7"/>
      <c r="AP59" s="22"/>
      <c r="AQ59" s="23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</row>
    <row r="60" spans="2:43" ht="13.5">
      <c r="B60" s="12"/>
      <c r="C60" s="13"/>
      <c r="D60" s="38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39"/>
      <c r="AA60" s="13"/>
      <c r="AB60" s="13"/>
      <c r="AC60" s="38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39"/>
      <c r="AP60" s="13"/>
      <c r="AQ60" s="14"/>
    </row>
    <row r="61" spans="2:43" ht="13.5">
      <c r="B61" s="12"/>
      <c r="C61" s="13"/>
      <c r="D61" s="38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39"/>
      <c r="AA61" s="13"/>
      <c r="AB61" s="13"/>
      <c r="AC61" s="38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39"/>
      <c r="AP61" s="13"/>
      <c r="AQ61" s="14"/>
    </row>
    <row r="62" spans="2:43" ht="13.5">
      <c r="B62" s="12"/>
      <c r="C62" s="13"/>
      <c r="D62" s="3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39"/>
      <c r="AA62" s="13"/>
      <c r="AB62" s="13"/>
      <c r="AC62" s="38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39"/>
      <c r="AP62" s="13"/>
      <c r="AQ62" s="14"/>
    </row>
    <row r="63" spans="2:43" ht="13.5">
      <c r="B63" s="12"/>
      <c r="C63" s="13"/>
      <c r="D63" s="3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39"/>
      <c r="AA63" s="13"/>
      <c r="AB63" s="13"/>
      <c r="AC63" s="38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39"/>
      <c r="AP63" s="13"/>
      <c r="AQ63" s="14"/>
    </row>
    <row r="64" spans="2:43" ht="13.5">
      <c r="B64" s="12"/>
      <c r="C64" s="13"/>
      <c r="D64" s="38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39"/>
      <c r="AA64" s="13"/>
      <c r="AB64" s="13"/>
      <c r="AC64" s="38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9"/>
      <c r="AP64" s="13"/>
      <c r="AQ64" s="14"/>
    </row>
    <row r="65" spans="2:43" ht="13.5">
      <c r="B65" s="12"/>
      <c r="C65" s="13"/>
      <c r="D65" s="3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39"/>
      <c r="AA65" s="13"/>
      <c r="AB65" s="13"/>
      <c r="AC65" s="38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39"/>
      <c r="AP65" s="13"/>
      <c r="AQ65" s="14"/>
    </row>
    <row r="66" spans="2:43" ht="13.5">
      <c r="B66" s="12"/>
      <c r="C66" s="13"/>
      <c r="D66" s="38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39"/>
      <c r="AA66" s="13"/>
      <c r="AB66" s="13"/>
      <c r="AC66" s="38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9"/>
      <c r="AP66" s="13"/>
      <c r="AQ66" s="14"/>
    </row>
    <row r="67" spans="2:43" ht="13.5">
      <c r="B67" s="12"/>
      <c r="C67" s="13"/>
      <c r="D67" s="38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39"/>
      <c r="AA67" s="13"/>
      <c r="AB67" s="13"/>
      <c r="AC67" s="38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39"/>
      <c r="AP67" s="13"/>
      <c r="AQ67" s="14"/>
    </row>
    <row r="68" spans="2:57" s="1" customFormat="1" ht="15">
      <c r="B68" s="21"/>
      <c r="C68" s="22"/>
      <c r="D68" s="40" t="s">
        <v>43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 t="s">
        <v>44</v>
      </c>
      <c r="S68" s="41"/>
      <c r="T68" s="41"/>
      <c r="U68" s="41"/>
      <c r="V68" s="41"/>
      <c r="W68" s="41"/>
      <c r="X68" s="41"/>
      <c r="Y68" s="41"/>
      <c r="Z68" s="43"/>
      <c r="AA68" s="22"/>
      <c r="AB68" s="22"/>
      <c r="AC68" s="40" t="s">
        <v>43</v>
      </c>
      <c r="AD68" s="41"/>
      <c r="AE68" s="41"/>
      <c r="AF68" s="41"/>
      <c r="AG68" s="41"/>
      <c r="AH68" s="41"/>
      <c r="AI68" s="41"/>
      <c r="AJ68" s="41"/>
      <c r="AK68" s="41"/>
      <c r="AL68" s="41"/>
      <c r="AM68" s="42" t="s">
        <v>44</v>
      </c>
      <c r="AN68" s="41"/>
      <c r="AO68" s="43"/>
      <c r="AP68" s="22"/>
      <c r="AQ68" s="23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</row>
    <row r="69" spans="2:57" s="1" customFormat="1" ht="6.7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3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</row>
    <row r="70" spans="2:57" s="1" customFormat="1" ht="6.7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</row>
    <row r="74" spans="2:57" s="1" customFormat="1" ht="6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9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</row>
    <row r="75" spans="2:57" s="1" customFormat="1" ht="36.75" customHeight="1">
      <c r="B75" s="21"/>
      <c r="C75" s="385" t="s">
        <v>47</v>
      </c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23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</row>
    <row r="76" spans="2:57" s="3" customFormat="1" ht="14.25" customHeight="1">
      <c r="B76" s="50"/>
      <c r="C76" s="18" t="s">
        <v>7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2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</row>
    <row r="77" spans="2:57" s="4" customFormat="1" ht="36.75" customHeight="1">
      <c r="B77" s="53"/>
      <c r="C77" s="54" t="s">
        <v>9</v>
      </c>
      <c r="D77" s="55"/>
      <c r="E77" s="55"/>
      <c r="F77" s="55"/>
      <c r="G77" s="55"/>
      <c r="H77" s="55"/>
      <c r="I77" s="55"/>
      <c r="J77" s="55"/>
      <c r="K77" s="55"/>
      <c r="L77" s="404" t="str">
        <f>K5</f>
        <v>Úprava právého chodníku v ul. Čavisovská v Chrudimi od křižovatky s ul. Družtevní po křižovatku s ul. Slovenská - s výměnou obrubníku v místě sjezdu</v>
      </c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55"/>
      <c r="AQ77" s="56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</row>
    <row r="78" spans="2:57" s="1" customFormat="1" ht="6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3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</row>
    <row r="79" spans="2:57" s="1" customFormat="1" ht="15">
      <c r="B79" s="21"/>
      <c r="C79" s="18" t="s">
        <v>15</v>
      </c>
      <c r="D79" s="22"/>
      <c r="E79" s="22"/>
      <c r="F79" s="22"/>
      <c r="G79" s="22"/>
      <c r="H79" s="22"/>
      <c r="I79" s="22"/>
      <c r="J79" s="22"/>
      <c r="K79" s="22"/>
      <c r="L79" s="57" t="str">
        <f>IF(K7="","",K7)</f>
        <v> 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18" t="s">
        <v>17</v>
      </c>
      <c r="AJ79" s="22"/>
      <c r="AK79" s="22"/>
      <c r="AL79" s="22"/>
      <c r="AM79" s="397">
        <f>IF(AN7="","",AN7)</f>
        <v>43888</v>
      </c>
      <c r="AN79" s="397"/>
      <c r="AO79" s="22"/>
      <c r="AP79" s="22"/>
      <c r="AQ79" s="23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</row>
    <row r="80" spans="2:57" s="1" customFormat="1" ht="6.7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3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</row>
    <row r="81" spans="2:57" s="1" customFormat="1" ht="15">
      <c r="B81" s="21"/>
      <c r="C81" s="18" t="s">
        <v>20</v>
      </c>
      <c r="D81" s="22"/>
      <c r="E81" s="22"/>
      <c r="F81" s="22"/>
      <c r="G81" s="22"/>
      <c r="H81" s="22"/>
      <c r="I81" s="22"/>
      <c r="J81" s="22"/>
      <c r="K81" s="22"/>
      <c r="L81" s="51" t="str">
        <f>IF(E10="","",E10)</f>
        <v> 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18" t="s">
        <v>24</v>
      </c>
      <c r="AJ81" s="22"/>
      <c r="AK81" s="22"/>
      <c r="AL81" s="22"/>
      <c r="AM81" s="375" t="str">
        <f>IF(E16="","",E16)</f>
        <v> </v>
      </c>
      <c r="AN81" s="376"/>
      <c r="AO81" s="376"/>
      <c r="AP81" s="376"/>
      <c r="AQ81" s="23"/>
      <c r="AR81" s="266"/>
      <c r="AS81" s="390" t="s">
        <v>48</v>
      </c>
      <c r="AT81" s="391"/>
      <c r="AU81" s="270"/>
      <c r="AV81" s="270"/>
      <c r="AW81" s="270"/>
      <c r="AX81" s="270"/>
      <c r="AY81" s="270"/>
      <c r="AZ81" s="270"/>
      <c r="BA81" s="270"/>
      <c r="BB81" s="270"/>
      <c r="BC81" s="270"/>
      <c r="BD81" s="271"/>
      <c r="BE81" s="266"/>
    </row>
    <row r="82" spans="2:57" s="1" customFormat="1" ht="15">
      <c r="B82" s="21"/>
      <c r="C82" s="18" t="s">
        <v>23</v>
      </c>
      <c r="D82" s="22"/>
      <c r="E82" s="22"/>
      <c r="F82" s="22"/>
      <c r="G82" s="22"/>
      <c r="H82" s="22"/>
      <c r="I82" s="22"/>
      <c r="J82" s="22"/>
      <c r="K82" s="22"/>
      <c r="L82" s="51" t="str">
        <f>IF(E13="","",E13)</f>
        <v> 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18" t="s">
        <v>26</v>
      </c>
      <c r="AJ82" s="22"/>
      <c r="AK82" s="22"/>
      <c r="AL82" s="22"/>
      <c r="AM82" s="375" t="str">
        <f>IF(E19="","",E19)</f>
        <v> </v>
      </c>
      <c r="AN82" s="376"/>
      <c r="AO82" s="376"/>
      <c r="AP82" s="376"/>
      <c r="AQ82" s="23"/>
      <c r="AR82" s="266"/>
      <c r="AS82" s="392"/>
      <c r="AT82" s="393"/>
      <c r="AU82" s="196"/>
      <c r="AV82" s="196"/>
      <c r="AW82" s="196"/>
      <c r="AX82" s="196"/>
      <c r="AY82" s="196"/>
      <c r="AZ82" s="196"/>
      <c r="BA82" s="196"/>
      <c r="BB82" s="196"/>
      <c r="BC82" s="196"/>
      <c r="BD82" s="272"/>
      <c r="BE82" s="266"/>
    </row>
    <row r="83" spans="2:57" s="1" customFormat="1" ht="10.5" customHeight="1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3"/>
      <c r="AR83" s="266"/>
      <c r="AS83" s="392"/>
      <c r="AT83" s="393"/>
      <c r="AU83" s="196"/>
      <c r="AV83" s="196"/>
      <c r="AW83" s="196"/>
      <c r="AX83" s="196"/>
      <c r="AY83" s="196"/>
      <c r="AZ83" s="196"/>
      <c r="BA83" s="196"/>
      <c r="BB83" s="196"/>
      <c r="BC83" s="196"/>
      <c r="BD83" s="272"/>
      <c r="BE83" s="266"/>
    </row>
    <row r="84" spans="2:57" s="1" customFormat="1" ht="29.25" customHeight="1">
      <c r="B84" s="21"/>
      <c r="C84" s="377" t="s">
        <v>49</v>
      </c>
      <c r="D84" s="378"/>
      <c r="E84" s="378"/>
      <c r="F84" s="378"/>
      <c r="G84" s="378"/>
      <c r="H84" s="58"/>
      <c r="I84" s="379" t="s">
        <v>50</v>
      </c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9" t="s">
        <v>51</v>
      </c>
      <c r="AH84" s="378"/>
      <c r="AI84" s="378"/>
      <c r="AJ84" s="378"/>
      <c r="AK84" s="378"/>
      <c r="AL84" s="378"/>
      <c r="AM84" s="378"/>
      <c r="AN84" s="379" t="s">
        <v>52</v>
      </c>
      <c r="AO84" s="378"/>
      <c r="AP84" s="394"/>
      <c r="AQ84" s="23"/>
      <c r="AR84" s="266"/>
      <c r="AS84" s="273" t="s">
        <v>53</v>
      </c>
      <c r="AT84" s="274" t="s">
        <v>54</v>
      </c>
      <c r="AU84" s="274" t="s">
        <v>55</v>
      </c>
      <c r="AV84" s="274" t="s">
        <v>56</v>
      </c>
      <c r="AW84" s="274" t="s">
        <v>57</v>
      </c>
      <c r="AX84" s="274" t="s">
        <v>58</v>
      </c>
      <c r="AY84" s="274" t="s">
        <v>59</v>
      </c>
      <c r="AZ84" s="274" t="s">
        <v>60</v>
      </c>
      <c r="BA84" s="274" t="s">
        <v>61</v>
      </c>
      <c r="BB84" s="274" t="s">
        <v>62</v>
      </c>
      <c r="BC84" s="274" t="s">
        <v>63</v>
      </c>
      <c r="BD84" s="275" t="s">
        <v>64</v>
      </c>
      <c r="BE84" s="266"/>
    </row>
    <row r="85" spans="2:57" s="1" customFormat="1" ht="10.5" customHeight="1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3"/>
      <c r="AR85" s="266"/>
      <c r="AS85" s="276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1"/>
      <c r="BE85" s="266"/>
    </row>
    <row r="86" spans="2:76" s="4" customFormat="1" ht="32.25" customHeight="1">
      <c r="B86" s="53"/>
      <c r="C86" s="59" t="s">
        <v>65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395">
        <f>ROUND(AG87,2)</f>
        <v>0</v>
      </c>
      <c r="AH86" s="395"/>
      <c r="AI86" s="395"/>
      <c r="AJ86" s="395"/>
      <c r="AK86" s="395"/>
      <c r="AL86" s="395"/>
      <c r="AM86" s="395"/>
      <c r="AN86" s="396">
        <f>SUM(AG86,AT86)</f>
        <v>0</v>
      </c>
      <c r="AO86" s="396"/>
      <c r="AP86" s="396"/>
      <c r="AQ86" s="56"/>
      <c r="AR86" s="269"/>
      <c r="AS86" s="277">
        <f>ROUND(AS87,2)</f>
        <v>0</v>
      </c>
      <c r="AT86" s="278">
        <f>ROUND(SUM(AV86:AW86),2)</f>
        <v>0</v>
      </c>
      <c r="AU86" s="279" t="e">
        <f>ROUND(AU87,5)</f>
        <v>#REF!</v>
      </c>
      <c r="AV86" s="278">
        <f>ROUND(AZ86*L30,2)</f>
        <v>0</v>
      </c>
      <c r="AW86" s="278">
        <f>ROUND(BA86*L31,2)</f>
        <v>0</v>
      </c>
      <c r="AX86" s="278" t="e">
        <f>ROUND(BB86*L30,2)</f>
        <v>#REF!</v>
      </c>
      <c r="AY86" s="278" t="e">
        <f>ROUND(BC86*L31,2)</f>
        <v>#REF!</v>
      </c>
      <c r="AZ86" s="278">
        <f>ROUND(AZ87,2)</f>
        <v>0</v>
      </c>
      <c r="BA86" s="278">
        <f>ROUND(BA87,2)</f>
        <v>0</v>
      </c>
      <c r="BB86" s="278" t="e">
        <f>ROUND(BB87,2)</f>
        <v>#REF!</v>
      </c>
      <c r="BC86" s="278" t="e">
        <f>ROUND(BC87,2)</f>
        <v>#REF!</v>
      </c>
      <c r="BD86" s="280" t="e">
        <f>ROUND(BD87,2)</f>
        <v>#REF!</v>
      </c>
      <c r="BE86" s="269"/>
      <c r="BS86" s="61" t="s">
        <v>66</v>
      </c>
      <c r="BT86" s="61" t="s">
        <v>67</v>
      </c>
      <c r="BV86" s="61" t="s">
        <v>68</v>
      </c>
      <c r="BW86" s="61" t="s">
        <v>69</v>
      </c>
      <c r="BX86" s="61" t="s">
        <v>70</v>
      </c>
    </row>
    <row r="87" spans="2:76" s="5" customFormat="1" ht="27" customHeight="1">
      <c r="B87" s="62"/>
      <c r="C87" s="63"/>
      <c r="D87" s="402" t="s">
        <v>8</v>
      </c>
      <c r="E87" s="403"/>
      <c r="F87" s="403"/>
      <c r="G87" s="403"/>
      <c r="H87" s="403"/>
      <c r="I87" s="64"/>
      <c r="J87" s="402" t="s">
        <v>10</v>
      </c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389">
        <f>'Výkaz výměr'!P22</f>
        <v>0</v>
      </c>
      <c r="AH87" s="389"/>
      <c r="AI87" s="389"/>
      <c r="AJ87" s="389"/>
      <c r="AK87" s="389"/>
      <c r="AL87" s="389"/>
      <c r="AM87" s="389"/>
      <c r="AN87" s="389">
        <f>SUM(AG87,AT87)</f>
        <v>0</v>
      </c>
      <c r="AO87" s="389"/>
      <c r="AP87" s="389"/>
      <c r="AQ87" s="65"/>
      <c r="AR87" s="281"/>
      <c r="AS87" s="282">
        <f>'Výkaz výměr'!P20</f>
        <v>0</v>
      </c>
      <c r="AT87" s="283">
        <f>ROUND(SUM(AV87:AW87),2)</f>
        <v>0</v>
      </c>
      <c r="AU87" s="284" t="e">
        <f>'Výkaz výměr'!#REF!</f>
        <v>#REF!</v>
      </c>
      <c r="AV87" s="283">
        <f>'Výkaz výměr'!P24</f>
        <v>0</v>
      </c>
      <c r="AW87" s="283">
        <f>'Výkaz výměr'!P25</f>
        <v>0</v>
      </c>
      <c r="AX87" s="283" t="e">
        <f>'Výkaz výměr'!#REF!</f>
        <v>#REF!</v>
      </c>
      <c r="AY87" s="283" t="e">
        <f>'Výkaz výměr'!#REF!</f>
        <v>#REF!</v>
      </c>
      <c r="AZ87" s="283">
        <f>'Výkaz výměr'!H24</f>
        <v>0</v>
      </c>
      <c r="BA87" s="283">
        <f>'Výkaz výměr'!H25</f>
        <v>0</v>
      </c>
      <c r="BB87" s="283" t="e">
        <f>'Výkaz výměr'!#REF!</f>
        <v>#REF!</v>
      </c>
      <c r="BC87" s="283" t="e">
        <f>'Výkaz výměr'!#REF!</f>
        <v>#REF!</v>
      </c>
      <c r="BD87" s="285" t="e">
        <f>'Výkaz výměr'!#REF!</f>
        <v>#REF!</v>
      </c>
      <c r="BE87" s="281"/>
      <c r="BT87" s="66" t="s">
        <v>14</v>
      </c>
      <c r="BU87" s="66" t="s">
        <v>71</v>
      </c>
      <c r="BV87" s="66" t="s">
        <v>68</v>
      </c>
      <c r="BW87" s="66" t="s">
        <v>69</v>
      </c>
      <c r="BX87" s="66" t="s">
        <v>70</v>
      </c>
    </row>
    <row r="88" spans="2:43" ht="13.5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4"/>
    </row>
    <row r="89" spans="2:57" s="1" customFormat="1" ht="30" customHeight="1">
      <c r="B89" s="21"/>
      <c r="C89" s="59" t="s">
        <v>72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396">
        <v>0</v>
      </c>
      <c r="AH89" s="401"/>
      <c r="AI89" s="401"/>
      <c r="AJ89" s="401"/>
      <c r="AK89" s="401"/>
      <c r="AL89" s="401"/>
      <c r="AM89" s="401"/>
      <c r="AN89" s="396">
        <v>0</v>
      </c>
      <c r="AO89" s="401"/>
      <c r="AP89" s="401"/>
      <c r="AQ89" s="23"/>
      <c r="AR89" s="266"/>
      <c r="AS89" s="273" t="s">
        <v>73</v>
      </c>
      <c r="AT89" s="274" t="s">
        <v>74</v>
      </c>
      <c r="AU89" s="274" t="s">
        <v>31</v>
      </c>
      <c r="AV89" s="275" t="s">
        <v>54</v>
      </c>
      <c r="AW89" s="266"/>
      <c r="AX89" s="266"/>
      <c r="AY89" s="266"/>
      <c r="AZ89" s="266"/>
      <c r="BA89" s="266"/>
      <c r="BB89" s="266"/>
      <c r="BC89" s="266"/>
      <c r="BD89" s="266"/>
      <c r="BE89" s="266"/>
    </row>
    <row r="90" spans="2:57" s="1" customFormat="1" ht="10.5" customHeight="1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23"/>
      <c r="AR90" s="266"/>
      <c r="AS90" s="286"/>
      <c r="AT90" s="287"/>
      <c r="AU90" s="287"/>
      <c r="AV90" s="288"/>
      <c r="AW90" s="266"/>
      <c r="AX90" s="266"/>
      <c r="AY90" s="266"/>
      <c r="AZ90" s="266"/>
      <c r="BA90" s="266"/>
      <c r="BB90" s="266"/>
      <c r="BC90" s="266"/>
      <c r="BD90" s="266"/>
      <c r="BE90" s="266"/>
    </row>
    <row r="91" spans="2:57" s="1" customFormat="1" ht="30" customHeight="1">
      <c r="B91" s="21"/>
      <c r="C91" s="67" t="s">
        <v>75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386">
        <f>ROUND(AG86+AG89,2)</f>
        <v>0</v>
      </c>
      <c r="AH91" s="386"/>
      <c r="AI91" s="386"/>
      <c r="AJ91" s="386"/>
      <c r="AK91" s="386"/>
      <c r="AL91" s="386"/>
      <c r="AM91" s="386"/>
      <c r="AN91" s="386">
        <f>AN86+AN89</f>
        <v>0</v>
      </c>
      <c r="AO91" s="386"/>
      <c r="AP91" s="386"/>
      <c r="AQ91" s="23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</row>
    <row r="92" spans="2:57" s="1" customFormat="1" ht="6.75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</row>
  </sheetData>
  <sheetProtection/>
  <mergeCells count="46">
    <mergeCell ref="AM79:AN79"/>
    <mergeCell ref="C1:AP1"/>
    <mergeCell ref="C3:AP3"/>
    <mergeCell ref="K4:AO4"/>
    <mergeCell ref="AG89:AM89"/>
    <mergeCell ref="AN89:AP89"/>
    <mergeCell ref="D87:H87"/>
    <mergeCell ref="J87:AF87"/>
    <mergeCell ref="L77:AO77"/>
    <mergeCell ref="AM81:AP81"/>
    <mergeCell ref="AG91:AM91"/>
    <mergeCell ref="AN91:AP91"/>
    <mergeCell ref="AR1:BE1"/>
    <mergeCell ref="AN87:AP87"/>
    <mergeCell ref="AG87:AM87"/>
    <mergeCell ref="AS81:AT83"/>
    <mergeCell ref="AN84:AP84"/>
    <mergeCell ref="AL26:AP26"/>
    <mergeCell ref="AG86:AM86"/>
    <mergeCell ref="AN86:AP86"/>
    <mergeCell ref="AM82:AP82"/>
    <mergeCell ref="C84:G84"/>
    <mergeCell ref="I84:AF84"/>
    <mergeCell ref="AG84:AM84"/>
    <mergeCell ref="L33:O33"/>
    <mergeCell ref="W33:AE33"/>
    <mergeCell ref="AL33:AP33"/>
    <mergeCell ref="X36:AB36"/>
    <mergeCell ref="AL36:AP36"/>
    <mergeCell ref="C75:AP75"/>
    <mergeCell ref="L31:O31"/>
    <mergeCell ref="W31:AE31"/>
    <mergeCell ref="AL31:AP31"/>
    <mergeCell ref="L32:O32"/>
    <mergeCell ref="W32:AE32"/>
    <mergeCell ref="AL32:AP32"/>
    <mergeCell ref="K5:AO5"/>
    <mergeCell ref="E22:AN22"/>
    <mergeCell ref="AL25:AP25"/>
    <mergeCell ref="L34:O34"/>
    <mergeCell ref="W34:AE34"/>
    <mergeCell ref="AL34:AP34"/>
    <mergeCell ref="AL28:AP28"/>
    <mergeCell ref="L30:O30"/>
    <mergeCell ref="W30:AE30"/>
    <mergeCell ref="AL30:AP30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244"/>
  <sheetViews>
    <sheetView showGridLines="0" view="pageBreakPreview" zoomScale="130" zoomScaleSheetLayoutView="130" zoomScalePageLayoutView="0" workbookViewId="0" topLeftCell="F13">
      <selection activeCell="M34" sqref="M3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9.140625" style="0" customWidth="1"/>
    <col min="6" max="7" width="11.140625" style="0" customWidth="1"/>
    <col min="8" max="8" width="10.57421875" style="0" customWidth="1"/>
    <col min="9" max="9" width="6.7109375" style="0" customWidth="1"/>
    <col min="10" max="10" width="5.140625" style="0" customWidth="1"/>
    <col min="11" max="11" width="9.7109375" style="345" customWidth="1"/>
    <col min="12" max="13" width="4.00390625" style="0" customWidth="1"/>
    <col min="14" max="17" width="2.421875" style="145" customWidth="1"/>
    <col min="18" max="18" width="7.140625" style="152" customWidth="1"/>
    <col min="19" max="19" width="7.140625" style="146" customWidth="1"/>
    <col min="20" max="20" width="7.140625" style="152" customWidth="1"/>
    <col min="21" max="21" width="7.140625" style="146" customWidth="1"/>
    <col min="22" max="22" width="1.8515625" style="0" customWidth="1"/>
    <col min="23" max="23" width="11.00390625" style="0" customWidth="1"/>
    <col min="24" max="24" width="15.00390625" style="0" customWidth="1"/>
    <col min="25" max="25" width="16.28125" style="0" customWidth="1"/>
    <col min="26" max="37" width="9.28125" style="0" customWidth="1"/>
    <col min="38" max="58" width="0" style="0" hidden="1" customWidth="1"/>
  </cols>
  <sheetData>
    <row r="1" spans="3:40" ht="13.5">
      <c r="C1" s="398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AN1" s="8"/>
    </row>
    <row r="2" spans="2:40" s="233" customFormat="1" ht="7.5">
      <c r="B2" s="240"/>
      <c r="C2" s="241"/>
      <c r="D2" s="241"/>
      <c r="E2" s="241"/>
      <c r="F2" s="241"/>
      <c r="G2" s="241"/>
      <c r="H2" s="241"/>
      <c r="I2" s="241"/>
      <c r="J2" s="241"/>
      <c r="K2" s="314"/>
      <c r="L2" s="241"/>
      <c r="M2" s="241"/>
      <c r="N2" s="242"/>
      <c r="O2" s="242"/>
      <c r="P2" s="242"/>
      <c r="Q2" s="242"/>
      <c r="R2" s="243"/>
      <c r="S2" s="244"/>
      <c r="T2" s="243"/>
      <c r="U2" s="244"/>
      <c r="V2" s="245"/>
      <c r="AN2" s="246" t="s">
        <v>76</v>
      </c>
    </row>
    <row r="3" spans="2:40" s="229" customFormat="1" ht="32.25">
      <c r="B3" s="227"/>
      <c r="C3" s="424" t="s">
        <v>77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228"/>
      <c r="AN3" s="230" t="s">
        <v>1</v>
      </c>
    </row>
    <row r="4" spans="2:22" s="233" customFormat="1" ht="7.5">
      <c r="B4" s="234"/>
      <c r="C4" s="235"/>
      <c r="D4" s="235"/>
      <c r="E4" s="235"/>
      <c r="F4" s="235"/>
      <c r="G4" s="235"/>
      <c r="H4" s="235"/>
      <c r="I4" s="235"/>
      <c r="J4" s="235"/>
      <c r="K4" s="315"/>
      <c r="L4" s="235"/>
      <c r="M4" s="235"/>
      <c r="N4" s="236"/>
      <c r="O4" s="236"/>
      <c r="P4" s="236"/>
      <c r="Q4" s="236"/>
      <c r="R4" s="237"/>
      <c r="S4" s="238"/>
      <c r="T4" s="237"/>
      <c r="U4" s="238"/>
      <c r="V4" s="239"/>
    </row>
    <row r="5" spans="2:22" s="1" customFormat="1" ht="18" customHeight="1">
      <c r="B5" s="21"/>
      <c r="C5" s="22"/>
      <c r="D5" s="17" t="s">
        <v>9</v>
      </c>
      <c r="E5" s="22"/>
      <c r="F5" s="363" t="str">
        <f>'Rekapitulace stavby'!K5</f>
        <v>Úprava právého chodníku v ul. Čavisovská v Chrudimi od křižovatky s ul. Družtevní po křižovatku s ul. Slovenská - s výměnou obrubníku v místě sjezdu</v>
      </c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148"/>
      <c r="V5" s="23"/>
    </row>
    <row r="6" spans="2:22" s="1" customFormat="1" ht="18" customHeight="1">
      <c r="B6" s="21"/>
      <c r="C6" s="22"/>
      <c r="D6" s="17"/>
      <c r="E6" s="2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148"/>
      <c r="V6" s="23"/>
    </row>
    <row r="7" spans="2:22" s="1" customFormat="1" ht="15">
      <c r="B7" s="21"/>
      <c r="C7" s="22"/>
      <c r="D7" s="18" t="s">
        <v>12</v>
      </c>
      <c r="E7" s="22"/>
      <c r="F7" s="16" t="s">
        <v>0</v>
      </c>
      <c r="G7" s="22"/>
      <c r="H7" s="22"/>
      <c r="I7" s="22"/>
      <c r="J7" s="22"/>
      <c r="K7" s="316"/>
      <c r="L7" s="22"/>
      <c r="M7" s="18" t="s">
        <v>13</v>
      </c>
      <c r="N7" s="135"/>
      <c r="O7" s="136" t="s">
        <v>0</v>
      </c>
      <c r="P7" s="135"/>
      <c r="Q7" s="135"/>
      <c r="R7" s="116"/>
      <c r="S7" s="148"/>
      <c r="T7" s="116"/>
      <c r="U7" s="148"/>
      <c r="V7" s="23"/>
    </row>
    <row r="8" spans="2:22" s="1" customFormat="1" ht="15">
      <c r="B8" s="21"/>
      <c r="C8" s="22"/>
      <c r="D8" s="18" t="s">
        <v>15</v>
      </c>
      <c r="E8" s="22"/>
      <c r="F8" s="16" t="s">
        <v>16</v>
      </c>
      <c r="G8" s="22"/>
      <c r="H8" s="22"/>
      <c r="I8" s="22"/>
      <c r="J8" s="22"/>
      <c r="K8" s="316"/>
      <c r="L8" s="22"/>
      <c r="M8" s="18" t="s">
        <v>17</v>
      </c>
      <c r="N8" s="135"/>
      <c r="O8" s="487">
        <f>'Rekapitulace stavby'!AN7</f>
        <v>43888</v>
      </c>
      <c r="P8" s="487"/>
      <c r="Q8" s="487"/>
      <c r="R8" s="487"/>
      <c r="S8" s="148"/>
      <c r="T8" s="116"/>
      <c r="U8" s="148"/>
      <c r="V8" s="23"/>
    </row>
    <row r="9" spans="2:22" s="103" customFormat="1" ht="7.5">
      <c r="B9" s="231"/>
      <c r="C9" s="105"/>
      <c r="D9" s="105"/>
      <c r="E9" s="105"/>
      <c r="F9" s="105"/>
      <c r="G9" s="105"/>
      <c r="H9" s="105"/>
      <c r="I9" s="105"/>
      <c r="J9" s="105"/>
      <c r="K9" s="317"/>
      <c r="L9" s="105"/>
      <c r="M9" s="105"/>
      <c r="N9" s="212"/>
      <c r="O9" s="212"/>
      <c r="P9" s="212"/>
      <c r="Q9" s="212"/>
      <c r="R9" s="153"/>
      <c r="S9" s="151"/>
      <c r="T9" s="153"/>
      <c r="U9" s="151"/>
      <c r="V9" s="232"/>
    </row>
    <row r="10" spans="2:22" s="1" customFormat="1" ht="15">
      <c r="B10" s="21"/>
      <c r="C10" s="22"/>
      <c r="D10" s="18" t="s">
        <v>20</v>
      </c>
      <c r="E10" s="22"/>
      <c r="F10" s="22"/>
      <c r="G10" s="22"/>
      <c r="H10" s="22"/>
      <c r="I10" s="22"/>
      <c r="J10" s="18" t="s">
        <v>21</v>
      </c>
      <c r="K10" s="316"/>
      <c r="L10" s="22"/>
      <c r="M10" s="18" t="s">
        <v>22</v>
      </c>
      <c r="N10" s="135"/>
      <c r="O10" s="417">
        <f>IF('Rekapitulace stavby'!AN9="","",'Rekapitulace stavby'!AN9)</f>
      </c>
      <c r="P10" s="417"/>
      <c r="Q10" s="135"/>
      <c r="R10" s="116"/>
      <c r="S10" s="148"/>
      <c r="T10" s="116"/>
      <c r="U10" s="148"/>
      <c r="V10" s="23"/>
    </row>
    <row r="11" spans="2:22" s="1" customFormat="1" ht="15">
      <c r="B11" s="21"/>
      <c r="C11" s="22"/>
      <c r="D11" s="18" t="s">
        <v>23</v>
      </c>
      <c r="E11" s="22"/>
      <c r="F11" s="22"/>
      <c r="G11" s="22"/>
      <c r="H11" s="22"/>
      <c r="I11" s="22"/>
      <c r="J11" s="18" t="s">
        <v>21</v>
      </c>
      <c r="K11" s="316"/>
      <c r="L11" s="22"/>
      <c r="M11" s="18" t="s">
        <v>22</v>
      </c>
      <c r="N11" s="135"/>
      <c r="O11" s="417">
        <f>IF('Rekapitulace stavby'!AN12="","",'Rekapitulace stavby'!AN12)</f>
      </c>
      <c r="P11" s="417"/>
      <c r="Q11" s="135"/>
      <c r="R11" s="116"/>
      <c r="S11" s="148"/>
      <c r="T11" s="116"/>
      <c r="U11" s="148"/>
      <c r="V11" s="23"/>
    </row>
    <row r="12" spans="2:22" s="1" customFormat="1" ht="15">
      <c r="B12" s="21"/>
      <c r="C12" s="22"/>
      <c r="D12" s="18" t="s">
        <v>24</v>
      </c>
      <c r="E12" s="22"/>
      <c r="F12" s="22"/>
      <c r="G12" s="22"/>
      <c r="H12" s="22"/>
      <c r="I12" s="22"/>
      <c r="J12" s="18" t="s">
        <v>21</v>
      </c>
      <c r="K12" s="316"/>
      <c r="L12" s="22"/>
      <c r="M12" s="18" t="s">
        <v>22</v>
      </c>
      <c r="N12" s="135"/>
      <c r="O12" s="417">
        <f>IF('Rekapitulace stavby'!AN15="","",'Rekapitulace stavby'!AN15)</f>
      </c>
      <c r="P12" s="417"/>
      <c r="Q12" s="135"/>
      <c r="R12" s="116"/>
      <c r="S12" s="148"/>
      <c r="T12" s="116"/>
      <c r="U12" s="148"/>
      <c r="V12" s="23"/>
    </row>
    <row r="13" spans="2:22" s="1" customFormat="1" ht="15">
      <c r="B13" s="21"/>
      <c r="C13" s="22"/>
      <c r="D13" s="18" t="s">
        <v>26</v>
      </c>
      <c r="E13" s="22"/>
      <c r="F13" s="22"/>
      <c r="G13" s="22"/>
      <c r="H13" s="22"/>
      <c r="I13" s="22"/>
      <c r="J13" s="18" t="s">
        <v>21</v>
      </c>
      <c r="K13" s="316"/>
      <c r="L13" s="22"/>
      <c r="M13" s="18" t="s">
        <v>22</v>
      </c>
      <c r="N13" s="135"/>
      <c r="O13" s="417">
        <f>IF('Rekapitulace stavby'!AN18="","",'Rekapitulace stavby'!AN18)</f>
      </c>
      <c r="P13" s="417"/>
      <c r="Q13" s="135"/>
      <c r="R13" s="116"/>
      <c r="S13" s="148"/>
      <c r="T13" s="116"/>
      <c r="U13" s="148"/>
      <c r="V13" s="23"/>
    </row>
    <row r="14" spans="2:22" s="1" customFormat="1" ht="13.5">
      <c r="B14" s="21"/>
      <c r="C14" s="22"/>
      <c r="D14" s="22"/>
      <c r="E14" s="22"/>
      <c r="F14" s="22"/>
      <c r="G14" s="22"/>
      <c r="H14" s="22"/>
      <c r="I14" s="22"/>
      <c r="J14" s="22"/>
      <c r="K14" s="316"/>
      <c r="L14" s="22"/>
      <c r="M14" s="22"/>
      <c r="N14" s="135"/>
      <c r="O14" s="135"/>
      <c r="P14" s="135"/>
      <c r="Q14" s="135"/>
      <c r="R14" s="116"/>
      <c r="S14" s="148"/>
      <c r="T14" s="116"/>
      <c r="U14" s="148"/>
      <c r="V14" s="23"/>
    </row>
    <row r="15" spans="2:22" s="1" customFormat="1" ht="15">
      <c r="B15" s="21"/>
      <c r="C15" s="22"/>
      <c r="D15" s="18" t="s">
        <v>27</v>
      </c>
      <c r="E15" s="22"/>
      <c r="F15" s="22"/>
      <c r="G15" s="22"/>
      <c r="H15" s="22"/>
      <c r="I15" s="22"/>
      <c r="J15" s="22"/>
      <c r="K15" s="316"/>
      <c r="L15" s="22"/>
      <c r="M15" s="22"/>
      <c r="N15" s="135"/>
      <c r="O15" s="135"/>
      <c r="P15" s="135"/>
      <c r="Q15" s="135"/>
      <c r="R15" s="116"/>
      <c r="S15" s="148"/>
      <c r="T15" s="116"/>
      <c r="U15" s="148"/>
      <c r="V15" s="23"/>
    </row>
    <row r="16" spans="2:22" s="1" customFormat="1" ht="13.5">
      <c r="B16" s="21"/>
      <c r="C16" s="22"/>
      <c r="D16" s="22"/>
      <c r="E16" s="365" t="s">
        <v>0</v>
      </c>
      <c r="F16" s="376"/>
      <c r="G16" s="376"/>
      <c r="H16" s="376"/>
      <c r="I16" s="376"/>
      <c r="J16" s="376"/>
      <c r="K16" s="376"/>
      <c r="L16" s="376"/>
      <c r="M16" s="22"/>
      <c r="N16" s="135"/>
      <c r="O16" s="135"/>
      <c r="P16" s="135"/>
      <c r="Q16" s="135"/>
      <c r="R16" s="116"/>
      <c r="S16" s="148"/>
      <c r="T16" s="116"/>
      <c r="U16" s="148"/>
      <c r="V16" s="23"/>
    </row>
    <row r="17" spans="2:22" s="1" customFormat="1" ht="13.5">
      <c r="B17" s="21"/>
      <c r="C17" s="22"/>
      <c r="D17" s="22"/>
      <c r="E17" s="22"/>
      <c r="F17" s="22"/>
      <c r="G17" s="22"/>
      <c r="H17" s="22"/>
      <c r="I17" s="22"/>
      <c r="J17" s="22"/>
      <c r="K17" s="316"/>
      <c r="L17" s="22"/>
      <c r="M17" s="22"/>
      <c r="N17" s="22"/>
      <c r="O17" s="135"/>
      <c r="P17" s="135"/>
      <c r="Q17" s="135"/>
      <c r="R17" s="116"/>
      <c r="S17" s="148"/>
      <c r="T17" s="116"/>
      <c r="U17" s="148"/>
      <c r="V17" s="23"/>
    </row>
    <row r="18" spans="2:22" s="1" customFormat="1" ht="13.5">
      <c r="B18" s="21"/>
      <c r="C18" s="22"/>
      <c r="D18" s="98"/>
      <c r="E18" s="98"/>
      <c r="F18" s="98"/>
      <c r="G18" s="98"/>
      <c r="H18" s="98"/>
      <c r="I18" s="98"/>
      <c r="J18" s="98"/>
      <c r="K18" s="318"/>
      <c r="L18" s="248"/>
      <c r="M18" s="248"/>
      <c r="N18" s="248"/>
      <c r="O18" s="98"/>
      <c r="P18" s="98"/>
      <c r="Q18" s="137"/>
      <c r="R18" s="137"/>
      <c r="S18" s="137"/>
      <c r="T18" s="116"/>
      <c r="U18" s="148"/>
      <c r="V18" s="23"/>
    </row>
    <row r="19" spans="2:22" s="1" customFormat="1" ht="15">
      <c r="B19" s="21"/>
      <c r="C19" s="22"/>
      <c r="D19" s="69" t="s">
        <v>78</v>
      </c>
      <c r="E19" s="22"/>
      <c r="F19" s="22"/>
      <c r="G19" s="22"/>
      <c r="H19" s="135"/>
      <c r="I19" s="135"/>
      <c r="J19" s="135"/>
      <c r="K19" s="316"/>
      <c r="L19" s="135"/>
      <c r="M19" s="135"/>
      <c r="N19" s="135"/>
      <c r="O19" s="135"/>
      <c r="P19" s="366">
        <f>R67</f>
        <v>0</v>
      </c>
      <c r="Q19" s="401"/>
      <c r="R19" s="401"/>
      <c r="S19" s="401"/>
      <c r="T19" s="116"/>
      <c r="U19" s="148"/>
      <c r="V19" s="23"/>
    </row>
    <row r="20" spans="2:22" s="1" customFormat="1" ht="15">
      <c r="B20" s="21"/>
      <c r="C20" s="22"/>
      <c r="D20" s="20" t="s">
        <v>79</v>
      </c>
      <c r="E20" s="22"/>
      <c r="F20" s="22"/>
      <c r="G20" s="22"/>
      <c r="H20" s="135"/>
      <c r="I20" s="135"/>
      <c r="J20" s="135"/>
      <c r="K20" s="316"/>
      <c r="L20" s="135"/>
      <c r="M20" s="135"/>
      <c r="N20" s="135"/>
      <c r="O20" s="135"/>
      <c r="P20" s="366">
        <f>R74</f>
        <v>0</v>
      </c>
      <c r="Q20" s="401"/>
      <c r="R20" s="401"/>
      <c r="S20" s="401"/>
      <c r="T20" s="116"/>
      <c r="U20" s="148"/>
      <c r="V20" s="23"/>
    </row>
    <row r="21" spans="2:22" s="1" customFormat="1" ht="13.5">
      <c r="B21" s="21"/>
      <c r="C21" s="22"/>
      <c r="D21" s="22"/>
      <c r="E21" s="22"/>
      <c r="F21" s="22"/>
      <c r="G21" s="22"/>
      <c r="H21" s="135"/>
      <c r="I21" s="135"/>
      <c r="J21" s="135"/>
      <c r="K21" s="316"/>
      <c r="L21" s="135"/>
      <c r="M21" s="135"/>
      <c r="N21" s="135"/>
      <c r="O21" s="135"/>
      <c r="P21" s="135"/>
      <c r="Q21" s="135"/>
      <c r="R21" s="135"/>
      <c r="S21" s="135"/>
      <c r="T21" s="116"/>
      <c r="U21" s="148"/>
      <c r="V21" s="23"/>
    </row>
    <row r="22" spans="2:22" s="1" customFormat="1" ht="15">
      <c r="B22" s="21"/>
      <c r="C22" s="22"/>
      <c r="D22" s="70" t="s">
        <v>30</v>
      </c>
      <c r="E22" s="22"/>
      <c r="F22" s="22"/>
      <c r="G22" s="22"/>
      <c r="H22" s="135"/>
      <c r="I22" s="135"/>
      <c r="J22" s="135"/>
      <c r="K22" s="316"/>
      <c r="L22" s="135"/>
      <c r="M22" s="135"/>
      <c r="N22" s="135"/>
      <c r="O22" s="135"/>
      <c r="P22" s="422">
        <f>ROUND(P19+P20,2)</f>
        <v>0</v>
      </c>
      <c r="Q22" s="401"/>
      <c r="R22" s="401"/>
      <c r="S22" s="401"/>
      <c r="T22" s="116"/>
      <c r="U22" s="148"/>
      <c r="V22" s="23"/>
    </row>
    <row r="23" spans="2:22" s="1" customFormat="1" ht="13.5">
      <c r="B23" s="21"/>
      <c r="C23" s="22"/>
      <c r="D23" s="98"/>
      <c r="E23" s="98"/>
      <c r="F23" s="98"/>
      <c r="G23" s="98"/>
      <c r="H23" s="137"/>
      <c r="I23" s="137"/>
      <c r="J23" s="137"/>
      <c r="K23" s="318"/>
      <c r="L23" s="137"/>
      <c r="M23" s="137"/>
      <c r="N23" s="137"/>
      <c r="O23" s="137"/>
      <c r="P23" s="137"/>
      <c r="Q23" s="137"/>
      <c r="R23" s="137"/>
      <c r="S23" s="137"/>
      <c r="T23" s="116"/>
      <c r="U23" s="148"/>
      <c r="V23" s="23"/>
    </row>
    <row r="24" spans="2:22" s="1" customFormat="1" ht="13.5">
      <c r="B24" s="21"/>
      <c r="C24" s="22"/>
      <c r="D24" s="28" t="s">
        <v>31</v>
      </c>
      <c r="E24" s="28" t="s">
        <v>32</v>
      </c>
      <c r="F24" s="100">
        <v>0.21</v>
      </c>
      <c r="G24" s="71" t="s">
        <v>33</v>
      </c>
      <c r="H24" s="372">
        <f>P22</f>
        <v>0</v>
      </c>
      <c r="I24" s="401"/>
      <c r="J24" s="401"/>
      <c r="K24" s="316"/>
      <c r="O24" s="135"/>
      <c r="P24" s="372">
        <f>H24*F24</f>
        <v>0</v>
      </c>
      <c r="Q24" s="401"/>
      <c r="R24" s="401"/>
      <c r="S24" s="401"/>
      <c r="T24" s="116"/>
      <c r="U24" s="148"/>
      <c r="V24" s="23"/>
    </row>
    <row r="25" spans="2:22" s="1" customFormat="1" ht="13.5">
      <c r="B25" s="21"/>
      <c r="C25" s="22"/>
      <c r="D25" s="22"/>
      <c r="E25" s="28" t="s">
        <v>34</v>
      </c>
      <c r="F25" s="100">
        <v>0.15</v>
      </c>
      <c r="G25" s="71" t="s">
        <v>33</v>
      </c>
      <c r="H25" s="372"/>
      <c r="I25" s="401"/>
      <c r="J25" s="401"/>
      <c r="K25" s="316"/>
      <c r="O25" s="135"/>
      <c r="P25" s="372">
        <f>H25*F25</f>
        <v>0</v>
      </c>
      <c r="Q25" s="401"/>
      <c r="R25" s="401"/>
      <c r="S25" s="401"/>
      <c r="T25" s="116"/>
      <c r="U25" s="148"/>
      <c r="V25" s="23"/>
    </row>
    <row r="26" spans="2:22" s="1" customFormat="1" ht="13.5">
      <c r="B26" s="21"/>
      <c r="C26" s="22"/>
      <c r="D26" s="22"/>
      <c r="E26" s="22"/>
      <c r="F26" s="22"/>
      <c r="G26" s="22"/>
      <c r="H26" s="22"/>
      <c r="I26" s="22"/>
      <c r="J26" s="22"/>
      <c r="K26" s="316"/>
      <c r="O26" s="22"/>
      <c r="P26" s="22"/>
      <c r="Q26" s="135"/>
      <c r="R26" s="135"/>
      <c r="S26" s="135"/>
      <c r="T26" s="116"/>
      <c r="U26" s="148"/>
      <c r="V26" s="23"/>
    </row>
    <row r="27" spans="2:22" s="1" customFormat="1" ht="18">
      <c r="B27" s="21"/>
      <c r="C27" s="196"/>
      <c r="D27" s="72" t="s">
        <v>38</v>
      </c>
      <c r="E27" s="99"/>
      <c r="F27" s="99"/>
      <c r="G27" s="73" t="s">
        <v>39</v>
      </c>
      <c r="H27" s="74" t="s">
        <v>40</v>
      </c>
      <c r="I27" s="99"/>
      <c r="J27" s="99"/>
      <c r="K27" s="319"/>
      <c r="L27" s="249"/>
      <c r="M27" s="249"/>
      <c r="N27" s="249"/>
      <c r="O27" s="419">
        <f>SUM(P22:P25)</f>
        <v>0</v>
      </c>
      <c r="P27" s="420"/>
      <c r="Q27" s="420"/>
      <c r="R27" s="420"/>
      <c r="S27" s="421"/>
      <c r="T27" s="116"/>
      <c r="U27" s="148"/>
      <c r="V27" s="23"/>
    </row>
    <row r="28" spans="2:22" s="1" customFormat="1" ht="13.5">
      <c r="B28" s="21"/>
      <c r="C28" s="22"/>
      <c r="D28" s="22"/>
      <c r="E28" s="22"/>
      <c r="F28" s="22"/>
      <c r="G28" s="22"/>
      <c r="H28" s="22"/>
      <c r="I28" s="22"/>
      <c r="J28" s="22"/>
      <c r="K28" s="316"/>
      <c r="L28" s="22"/>
      <c r="M28" s="22"/>
      <c r="N28" s="135"/>
      <c r="O28" s="135"/>
      <c r="P28" s="135"/>
      <c r="Q28" s="135"/>
      <c r="R28" s="116"/>
      <c r="S28" s="148"/>
      <c r="T28" s="116"/>
      <c r="U28" s="148"/>
      <c r="V28" s="23"/>
    </row>
    <row r="29" spans="2:22" s="1" customFormat="1" ht="15">
      <c r="B29" s="21"/>
      <c r="C29" s="22"/>
      <c r="D29" s="35" t="s">
        <v>41</v>
      </c>
      <c r="E29" s="98"/>
      <c r="F29" s="98"/>
      <c r="G29" s="98"/>
      <c r="H29" s="37"/>
      <c r="I29" s="22"/>
      <c r="J29" s="35" t="s">
        <v>42</v>
      </c>
      <c r="K29" s="318"/>
      <c r="L29" s="98"/>
      <c r="M29" s="98"/>
      <c r="N29" s="98"/>
      <c r="O29" s="98"/>
      <c r="P29" s="98"/>
      <c r="Q29" s="98"/>
      <c r="R29" s="112"/>
      <c r="S29" s="138"/>
      <c r="T29" s="116"/>
      <c r="U29" s="148"/>
      <c r="V29" s="23"/>
    </row>
    <row r="30" spans="2:22" ht="13.5">
      <c r="B30" s="12"/>
      <c r="C30" s="13"/>
      <c r="D30" s="38"/>
      <c r="E30" s="13"/>
      <c r="F30" s="13"/>
      <c r="G30" s="13"/>
      <c r="H30" s="39"/>
      <c r="I30" s="13"/>
      <c r="J30" s="38"/>
      <c r="K30" s="320"/>
      <c r="L30" s="13"/>
      <c r="M30" s="13"/>
      <c r="N30" s="134"/>
      <c r="O30" s="134"/>
      <c r="P30" s="134"/>
      <c r="Q30" s="134"/>
      <c r="R30" s="134"/>
      <c r="S30" s="139"/>
      <c r="T30" s="157"/>
      <c r="U30" s="158"/>
      <c r="V30" s="14"/>
    </row>
    <row r="31" spans="2:22" ht="13.5">
      <c r="B31" s="12"/>
      <c r="C31" s="13"/>
      <c r="D31" s="38"/>
      <c r="E31" s="13"/>
      <c r="F31" s="13"/>
      <c r="G31" s="13"/>
      <c r="H31" s="39"/>
      <c r="I31" s="13"/>
      <c r="J31" s="38"/>
      <c r="K31" s="320"/>
      <c r="L31" s="13"/>
      <c r="M31" s="13"/>
      <c r="N31" s="134"/>
      <c r="O31" s="134"/>
      <c r="P31" s="134"/>
      <c r="Q31" s="134"/>
      <c r="R31" s="134"/>
      <c r="S31" s="139"/>
      <c r="T31" s="157"/>
      <c r="U31" s="158"/>
      <c r="V31" s="14"/>
    </row>
    <row r="32" spans="2:22" ht="13.5">
      <c r="B32" s="12"/>
      <c r="C32" s="13"/>
      <c r="D32" s="38"/>
      <c r="E32" s="13"/>
      <c r="F32" s="13"/>
      <c r="G32" s="13"/>
      <c r="H32" s="39"/>
      <c r="I32" s="13"/>
      <c r="J32" s="38"/>
      <c r="K32" s="320"/>
      <c r="L32" s="13"/>
      <c r="M32" s="13"/>
      <c r="N32" s="134"/>
      <c r="O32" s="134"/>
      <c r="P32" s="134"/>
      <c r="Q32" s="134"/>
      <c r="R32" s="134"/>
      <c r="S32" s="139"/>
      <c r="T32" s="157"/>
      <c r="U32" s="158"/>
      <c r="V32" s="14"/>
    </row>
    <row r="33" spans="2:22" ht="13.5">
      <c r="B33" s="12"/>
      <c r="C33" s="13"/>
      <c r="D33" s="38"/>
      <c r="E33" s="13"/>
      <c r="F33" s="13"/>
      <c r="G33" s="13"/>
      <c r="H33" s="39"/>
      <c r="I33" s="13"/>
      <c r="J33" s="38"/>
      <c r="K33" s="320"/>
      <c r="L33" s="13"/>
      <c r="M33" s="13"/>
      <c r="N33" s="134"/>
      <c r="O33" s="134"/>
      <c r="P33" s="134"/>
      <c r="Q33" s="134"/>
      <c r="R33" s="134"/>
      <c r="S33" s="139"/>
      <c r="T33" s="157"/>
      <c r="U33" s="158"/>
      <c r="V33" s="14"/>
    </row>
    <row r="34" spans="2:22" ht="13.5">
      <c r="B34" s="12"/>
      <c r="C34" s="13"/>
      <c r="D34" s="38"/>
      <c r="E34" s="13"/>
      <c r="F34" s="13"/>
      <c r="G34" s="13"/>
      <c r="H34" s="39"/>
      <c r="I34" s="13"/>
      <c r="J34" s="38"/>
      <c r="K34" s="320"/>
      <c r="L34" s="13"/>
      <c r="M34" s="13"/>
      <c r="N34" s="134"/>
      <c r="O34" s="134"/>
      <c r="P34" s="134"/>
      <c r="Q34" s="134"/>
      <c r="R34" s="134"/>
      <c r="S34" s="139"/>
      <c r="T34" s="157"/>
      <c r="U34" s="158"/>
      <c r="V34" s="14"/>
    </row>
    <row r="35" spans="2:22" ht="13.5">
      <c r="B35" s="12"/>
      <c r="C35" s="13"/>
      <c r="D35" s="38"/>
      <c r="E35" s="13"/>
      <c r="F35" s="13"/>
      <c r="G35" s="13"/>
      <c r="H35" s="39"/>
      <c r="I35" s="13"/>
      <c r="J35" s="38"/>
      <c r="K35" s="320"/>
      <c r="L35" s="13"/>
      <c r="M35" s="13"/>
      <c r="N35" s="134"/>
      <c r="O35" s="134"/>
      <c r="P35" s="134"/>
      <c r="Q35" s="134"/>
      <c r="R35" s="134"/>
      <c r="S35" s="139"/>
      <c r="T35" s="157"/>
      <c r="U35" s="158"/>
      <c r="V35" s="14"/>
    </row>
    <row r="36" spans="2:22" ht="13.5">
      <c r="B36" s="12"/>
      <c r="C36" s="13"/>
      <c r="D36" s="38"/>
      <c r="E36" s="13"/>
      <c r="F36" s="13"/>
      <c r="G36" s="13"/>
      <c r="H36" s="39"/>
      <c r="I36" s="13"/>
      <c r="J36" s="38"/>
      <c r="K36" s="320"/>
      <c r="L36" s="13"/>
      <c r="M36" s="13"/>
      <c r="N36" s="134"/>
      <c r="O36" s="134"/>
      <c r="P36" s="134"/>
      <c r="Q36" s="134"/>
      <c r="R36" s="134"/>
      <c r="S36" s="139"/>
      <c r="T36" s="157"/>
      <c r="U36" s="158"/>
      <c r="V36" s="14"/>
    </row>
    <row r="37" spans="2:22" ht="13.5">
      <c r="B37" s="12"/>
      <c r="C37" s="13"/>
      <c r="D37" s="38"/>
      <c r="E37" s="13"/>
      <c r="F37" s="13"/>
      <c r="G37" s="13"/>
      <c r="H37" s="39"/>
      <c r="I37" s="13"/>
      <c r="J37" s="38"/>
      <c r="K37" s="320"/>
      <c r="L37" s="13"/>
      <c r="M37" s="13"/>
      <c r="N37" s="134"/>
      <c r="O37" s="134"/>
      <c r="P37" s="134"/>
      <c r="Q37" s="134"/>
      <c r="R37" s="134"/>
      <c r="S37" s="139"/>
      <c r="T37" s="157"/>
      <c r="U37" s="158"/>
      <c r="V37" s="14"/>
    </row>
    <row r="38" spans="2:22" s="1" customFormat="1" ht="15">
      <c r="B38" s="21"/>
      <c r="C38" s="22"/>
      <c r="D38" s="40" t="s">
        <v>43</v>
      </c>
      <c r="E38" s="41"/>
      <c r="F38" s="41"/>
      <c r="G38" s="42" t="s">
        <v>44</v>
      </c>
      <c r="H38" s="43"/>
      <c r="I38" s="22"/>
      <c r="J38" s="40" t="s">
        <v>43</v>
      </c>
      <c r="K38" s="321"/>
      <c r="L38" s="41"/>
      <c r="M38" s="41"/>
      <c r="N38" s="140" t="s">
        <v>44</v>
      </c>
      <c r="O38" s="41"/>
      <c r="P38" s="41"/>
      <c r="Q38" s="141"/>
      <c r="R38" s="141"/>
      <c r="S38" s="142"/>
      <c r="T38" s="116"/>
      <c r="U38" s="148"/>
      <c r="V38" s="23"/>
    </row>
    <row r="39" spans="2:22" ht="13.5">
      <c r="B39" s="12"/>
      <c r="C39" s="13"/>
      <c r="D39" s="13"/>
      <c r="E39" s="13"/>
      <c r="F39" s="13"/>
      <c r="G39" s="13"/>
      <c r="H39" s="13"/>
      <c r="I39" s="13"/>
      <c r="J39" s="13"/>
      <c r="K39" s="320"/>
      <c r="L39" s="13"/>
      <c r="M39" s="223"/>
      <c r="N39" s="223"/>
      <c r="O39" s="223"/>
      <c r="P39" s="223"/>
      <c r="Q39" s="223"/>
      <c r="R39" s="223"/>
      <c r="S39" s="224"/>
      <c r="T39" s="157"/>
      <c r="U39" s="158"/>
      <c r="V39" s="14"/>
    </row>
    <row r="40" spans="2:22" s="1" customFormat="1" ht="15">
      <c r="B40" s="21"/>
      <c r="C40" s="22"/>
      <c r="D40" s="35" t="s">
        <v>45</v>
      </c>
      <c r="E40" s="98"/>
      <c r="F40" s="98"/>
      <c r="G40" s="98"/>
      <c r="H40" s="37"/>
      <c r="I40" s="22"/>
      <c r="J40" s="35" t="s">
        <v>46</v>
      </c>
      <c r="K40" s="318"/>
      <c r="L40" s="98"/>
      <c r="M40" s="98"/>
      <c r="N40" s="98"/>
      <c r="O40" s="98"/>
      <c r="P40" s="98"/>
      <c r="Q40" s="98"/>
      <c r="R40" s="112"/>
      <c r="S40" s="138"/>
      <c r="T40" s="116"/>
      <c r="U40" s="148"/>
      <c r="V40" s="23"/>
    </row>
    <row r="41" spans="2:22" ht="13.5">
      <c r="B41" s="12"/>
      <c r="C41" s="13"/>
      <c r="D41" s="38"/>
      <c r="E41" s="13"/>
      <c r="F41" s="13"/>
      <c r="G41" s="13"/>
      <c r="H41" s="39"/>
      <c r="I41" s="13"/>
      <c r="J41" s="38"/>
      <c r="K41" s="320"/>
      <c r="L41" s="13"/>
      <c r="M41" s="13"/>
      <c r="N41" s="134"/>
      <c r="O41" s="134"/>
      <c r="P41" s="134"/>
      <c r="Q41" s="134"/>
      <c r="R41" s="134"/>
      <c r="S41" s="139"/>
      <c r="T41" s="157"/>
      <c r="U41" s="158"/>
      <c r="V41" s="14"/>
    </row>
    <row r="42" spans="2:22" ht="13.5">
      <c r="B42" s="12"/>
      <c r="C42" s="13"/>
      <c r="D42" s="38"/>
      <c r="E42" s="13"/>
      <c r="F42" s="13"/>
      <c r="G42" s="13"/>
      <c r="H42" s="39"/>
      <c r="I42" s="13"/>
      <c r="J42" s="38"/>
      <c r="K42" s="320"/>
      <c r="L42" s="13"/>
      <c r="M42" s="13"/>
      <c r="N42" s="134"/>
      <c r="O42" s="134"/>
      <c r="P42" s="134"/>
      <c r="Q42" s="134"/>
      <c r="R42" s="134"/>
      <c r="S42" s="139"/>
      <c r="T42" s="157"/>
      <c r="U42" s="158"/>
      <c r="V42" s="14"/>
    </row>
    <row r="43" spans="2:22" ht="13.5">
      <c r="B43" s="12"/>
      <c r="C43" s="13"/>
      <c r="D43" s="38"/>
      <c r="E43" s="13"/>
      <c r="F43" s="13"/>
      <c r="G43" s="13"/>
      <c r="H43" s="39"/>
      <c r="I43" s="13"/>
      <c r="J43" s="38"/>
      <c r="K43" s="320"/>
      <c r="L43" s="13"/>
      <c r="M43" s="13"/>
      <c r="N43" s="134"/>
      <c r="O43" s="134"/>
      <c r="P43" s="134"/>
      <c r="Q43" s="134"/>
      <c r="R43" s="134"/>
      <c r="S43" s="139"/>
      <c r="T43" s="157"/>
      <c r="U43" s="158"/>
      <c r="V43" s="14"/>
    </row>
    <row r="44" spans="2:22" ht="13.5">
      <c r="B44" s="12"/>
      <c r="C44" s="13"/>
      <c r="D44" s="38"/>
      <c r="E44" s="13"/>
      <c r="F44" s="13"/>
      <c r="G44" s="13"/>
      <c r="H44" s="39"/>
      <c r="I44" s="13"/>
      <c r="J44" s="38"/>
      <c r="K44" s="320"/>
      <c r="L44" s="13"/>
      <c r="M44" s="13"/>
      <c r="N44" s="134"/>
      <c r="O44" s="134"/>
      <c r="P44" s="134"/>
      <c r="Q44" s="134"/>
      <c r="R44" s="134"/>
      <c r="S44" s="139"/>
      <c r="T44" s="157"/>
      <c r="U44" s="158"/>
      <c r="V44" s="14"/>
    </row>
    <row r="45" spans="2:22" ht="13.5">
      <c r="B45" s="12"/>
      <c r="C45" s="13"/>
      <c r="D45" s="38"/>
      <c r="E45" s="13"/>
      <c r="F45" s="13"/>
      <c r="G45" s="13"/>
      <c r="H45" s="39"/>
      <c r="I45" s="13"/>
      <c r="J45" s="38"/>
      <c r="K45" s="320"/>
      <c r="L45" s="13"/>
      <c r="M45" s="13"/>
      <c r="N45" s="134"/>
      <c r="O45" s="134"/>
      <c r="P45" s="134"/>
      <c r="Q45" s="134"/>
      <c r="R45" s="134"/>
      <c r="S45" s="139"/>
      <c r="T45" s="157"/>
      <c r="U45" s="158"/>
      <c r="V45" s="14"/>
    </row>
    <row r="46" spans="2:22" ht="13.5">
      <c r="B46" s="12"/>
      <c r="C46" s="13"/>
      <c r="D46" s="38"/>
      <c r="E46" s="13"/>
      <c r="F46" s="13"/>
      <c r="G46" s="13"/>
      <c r="H46" s="39"/>
      <c r="I46" s="13"/>
      <c r="J46" s="38"/>
      <c r="K46" s="320"/>
      <c r="L46" s="13"/>
      <c r="M46" s="13"/>
      <c r="N46" s="134"/>
      <c r="O46" s="134"/>
      <c r="P46" s="134"/>
      <c r="Q46" s="134"/>
      <c r="R46" s="134"/>
      <c r="S46" s="139"/>
      <c r="T46" s="157"/>
      <c r="U46" s="158"/>
      <c r="V46" s="14"/>
    </row>
    <row r="47" spans="2:22" ht="13.5">
      <c r="B47" s="12"/>
      <c r="C47" s="13"/>
      <c r="D47" s="38"/>
      <c r="E47" s="13"/>
      <c r="F47" s="13"/>
      <c r="G47" s="13"/>
      <c r="H47" s="39"/>
      <c r="I47" s="13"/>
      <c r="J47" s="38"/>
      <c r="K47" s="320"/>
      <c r="L47" s="13"/>
      <c r="M47" s="13"/>
      <c r="N47" s="134"/>
      <c r="O47" s="134"/>
      <c r="P47" s="134"/>
      <c r="Q47" s="134"/>
      <c r="R47" s="134"/>
      <c r="S47" s="139"/>
      <c r="T47" s="157"/>
      <c r="U47" s="158"/>
      <c r="V47" s="14"/>
    </row>
    <row r="48" spans="2:22" ht="13.5">
      <c r="B48" s="12"/>
      <c r="C48" s="13"/>
      <c r="D48" s="38"/>
      <c r="E48" s="13"/>
      <c r="F48" s="13"/>
      <c r="G48" s="13"/>
      <c r="H48" s="39"/>
      <c r="I48" s="13"/>
      <c r="J48" s="38"/>
      <c r="K48" s="320"/>
      <c r="L48" s="13"/>
      <c r="M48" s="13"/>
      <c r="N48" s="134"/>
      <c r="O48" s="134"/>
      <c r="P48" s="134"/>
      <c r="Q48" s="134"/>
      <c r="R48" s="134"/>
      <c r="S48" s="139"/>
      <c r="T48" s="157"/>
      <c r="U48" s="158"/>
      <c r="V48" s="14"/>
    </row>
    <row r="49" spans="2:22" s="1" customFormat="1" ht="15">
      <c r="B49" s="21"/>
      <c r="C49" s="22"/>
      <c r="D49" s="40" t="s">
        <v>43</v>
      </c>
      <c r="E49" s="41"/>
      <c r="F49" s="41"/>
      <c r="G49" s="42" t="s">
        <v>44</v>
      </c>
      <c r="H49" s="43"/>
      <c r="I49" s="22"/>
      <c r="J49" s="40" t="s">
        <v>43</v>
      </c>
      <c r="K49" s="321"/>
      <c r="L49" s="41"/>
      <c r="M49" s="41"/>
      <c r="N49" s="140" t="s">
        <v>44</v>
      </c>
      <c r="O49" s="41"/>
      <c r="P49" s="41"/>
      <c r="Q49" s="141"/>
      <c r="R49" s="141"/>
      <c r="S49" s="142"/>
      <c r="T49" s="116"/>
      <c r="U49" s="148"/>
      <c r="V49" s="23"/>
    </row>
    <row r="50" spans="2:22" s="1" customFormat="1" ht="13.5">
      <c r="B50" s="44"/>
      <c r="C50" s="45"/>
      <c r="D50" s="45"/>
      <c r="E50" s="45"/>
      <c r="F50" s="45"/>
      <c r="G50" s="45"/>
      <c r="H50" s="45"/>
      <c r="I50" s="45"/>
      <c r="J50" s="45"/>
      <c r="K50" s="322"/>
      <c r="L50" s="45"/>
      <c r="M50" s="45"/>
      <c r="N50" s="143"/>
      <c r="O50" s="143"/>
      <c r="P50" s="143"/>
      <c r="Q50" s="143"/>
      <c r="R50" s="225"/>
      <c r="S50" s="226"/>
      <c r="T50" s="225"/>
      <c r="U50" s="226"/>
      <c r="V50" s="46"/>
    </row>
    <row r="54" spans="2:22" s="103" customFormat="1" ht="7.5">
      <c r="B54" s="214"/>
      <c r="C54" s="215"/>
      <c r="D54" s="215"/>
      <c r="E54" s="215"/>
      <c r="F54" s="215"/>
      <c r="G54" s="215"/>
      <c r="H54" s="215"/>
      <c r="I54" s="215"/>
      <c r="J54" s="215"/>
      <c r="K54" s="323"/>
      <c r="L54" s="215"/>
      <c r="M54" s="215"/>
      <c r="N54" s="216"/>
      <c r="O54" s="216"/>
      <c r="P54" s="216"/>
      <c r="Q54" s="216"/>
      <c r="R54" s="217"/>
      <c r="S54" s="218"/>
      <c r="T54" s="217"/>
      <c r="U54" s="218"/>
      <c r="V54" s="219"/>
    </row>
    <row r="55" spans="2:22" s="222" customFormat="1" ht="32.25">
      <c r="B55" s="220"/>
      <c r="C55" s="424" t="s">
        <v>80</v>
      </c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221"/>
    </row>
    <row r="56" spans="2:22" s="103" customFormat="1" ht="7.5">
      <c r="B56" s="211"/>
      <c r="C56" s="105"/>
      <c r="D56" s="105"/>
      <c r="E56" s="105"/>
      <c r="F56" s="105"/>
      <c r="G56" s="105"/>
      <c r="H56" s="105"/>
      <c r="I56" s="105"/>
      <c r="J56" s="105"/>
      <c r="K56" s="317"/>
      <c r="L56" s="105"/>
      <c r="M56" s="105"/>
      <c r="N56" s="212"/>
      <c r="O56" s="212"/>
      <c r="P56" s="212"/>
      <c r="Q56" s="212"/>
      <c r="R56" s="153"/>
      <c r="S56" s="151"/>
      <c r="T56" s="153"/>
      <c r="U56" s="151"/>
      <c r="V56" s="213"/>
    </row>
    <row r="57" spans="2:22" s="1" customFormat="1" ht="18" customHeight="1">
      <c r="B57" s="154"/>
      <c r="C57" s="54" t="s">
        <v>9</v>
      </c>
      <c r="D57" s="22"/>
      <c r="E57" s="22"/>
      <c r="F57" s="404" t="str">
        <f>F5</f>
        <v>Úprava právého chodníku v ul. Čavisovská v Chrudimi od křižovatky s ul. Družtevní po křižovatku s ul. Slovenská - s výměnou obrubníku v místě sjezdu</v>
      </c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148"/>
      <c r="V57" s="122"/>
    </row>
    <row r="58" spans="2:22" s="1" customFormat="1" ht="18">
      <c r="B58" s="154"/>
      <c r="C58" s="54"/>
      <c r="D58" s="22"/>
      <c r="E58" s="22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148"/>
      <c r="V58" s="122"/>
    </row>
    <row r="59" spans="2:22" s="103" customFormat="1" ht="7.5">
      <c r="B59" s="211"/>
      <c r="C59" s="105"/>
      <c r="D59" s="105"/>
      <c r="E59" s="105"/>
      <c r="F59" s="105"/>
      <c r="G59" s="105"/>
      <c r="H59" s="105"/>
      <c r="I59" s="105"/>
      <c r="J59" s="105"/>
      <c r="K59" s="317"/>
      <c r="L59" s="105"/>
      <c r="M59" s="105"/>
      <c r="N59" s="212"/>
      <c r="O59" s="212"/>
      <c r="P59" s="212"/>
      <c r="Q59" s="212"/>
      <c r="R59" s="153"/>
      <c r="S59" s="151"/>
      <c r="T59" s="153"/>
      <c r="U59" s="151"/>
      <c r="V59" s="213"/>
    </row>
    <row r="60" spans="2:22" s="1" customFormat="1" ht="15">
      <c r="B60" s="154"/>
      <c r="C60" s="18" t="s">
        <v>15</v>
      </c>
      <c r="D60" s="22"/>
      <c r="E60" s="22"/>
      <c r="F60" s="16" t="str">
        <f>F8</f>
        <v> </v>
      </c>
      <c r="G60" s="22"/>
      <c r="H60" s="22"/>
      <c r="I60" s="22"/>
      <c r="J60" s="22"/>
      <c r="K60" s="324" t="s">
        <v>17</v>
      </c>
      <c r="L60" s="22"/>
      <c r="M60" s="425">
        <f>IF(O8="","",O8)</f>
        <v>43888</v>
      </c>
      <c r="N60" s="426"/>
      <c r="O60" s="426"/>
      <c r="P60" s="426"/>
      <c r="Q60" s="135"/>
      <c r="R60" s="116"/>
      <c r="S60" s="148"/>
      <c r="T60" s="116"/>
      <c r="U60" s="148"/>
      <c r="V60" s="122"/>
    </row>
    <row r="61" spans="2:22" s="103" customFormat="1" ht="7.5">
      <c r="B61" s="211"/>
      <c r="C61" s="105"/>
      <c r="D61" s="105"/>
      <c r="E61" s="105"/>
      <c r="F61" s="105"/>
      <c r="G61" s="105"/>
      <c r="H61" s="105"/>
      <c r="I61" s="105"/>
      <c r="J61" s="105"/>
      <c r="K61" s="317"/>
      <c r="L61" s="105"/>
      <c r="M61" s="105"/>
      <c r="N61" s="212"/>
      <c r="O61" s="212"/>
      <c r="P61" s="212"/>
      <c r="Q61" s="212"/>
      <c r="R61" s="153"/>
      <c r="S61" s="151"/>
      <c r="T61" s="153"/>
      <c r="U61" s="151"/>
      <c r="V61" s="213"/>
    </row>
    <row r="62" spans="2:22" s="1" customFormat="1" ht="15">
      <c r="B62" s="154"/>
      <c r="C62" s="18" t="s">
        <v>20</v>
      </c>
      <c r="D62" s="22"/>
      <c r="E62" s="22"/>
      <c r="F62" s="16"/>
      <c r="G62" s="22"/>
      <c r="H62" s="22"/>
      <c r="I62" s="22"/>
      <c r="J62" s="22"/>
      <c r="K62" s="324" t="s">
        <v>24</v>
      </c>
      <c r="L62" s="22"/>
      <c r="M62" s="400"/>
      <c r="N62" s="376"/>
      <c r="O62" s="376"/>
      <c r="P62" s="376"/>
      <c r="Q62" s="376"/>
      <c r="R62" s="116"/>
      <c r="S62" s="148"/>
      <c r="T62" s="116"/>
      <c r="U62" s="148"/>
      <c r="V62" s="122"/>
    </row>
    <row r="63" spans="2:22" s="1" customFormat="1" ht="15">
      <c r="B63" s="154"/>
      <c r="C63" s="18" t="s">
        <v>23</v>
      </c>
      <c r="D63" s="22"/>
      <c r="E63" s="22"/>
      <c r="F63" s="16"/>
      <c r="G63" s="22"/>
      <c r="H63" s="22"/>
      <c r="I63" s="22"/>
      <c r="J63" s="22"/>
      <c r="K63" s="324" t="s">
        <v>26</v>
      </c>
      <c r="L63" s="22"/>
      <c r="M63" s="400"/>
      <c r="N63" s="376"/>
      <c r="O63" s="376"/>
      <c r="P63" s="376"/>
      <c r="Q63" s="376"/>
      <c r="R63" s="116"/>
      <c r="S63" s="148"/>
      <c r="T63" s="116"/>
      <c r="U63" s="148"/>
      <c r="V63" s="122"/>
    </row>
    <row r="64" spans="2:22" s="103" customFormat="1" ht="7.5">
      <c r="B64" s="211"/>
      <c r="C64" s="105"/>
      <c r="D64" s="105"/>
      <c r="E64" s="105"/>
      <c r="F64" s="105"/>
      <c r="G64" s="105"/>
      <c r="H64" s="105"/>
      <c r="I64" s="105"/>
      <c r="J64" s="105"/>
      <c r="K64" s="317"/>
      <c r="L64" s="105"/>
      <c r="M64" s="105"/>
      <c r="N64" s="212"/>
      <c r="O64" s="212"/>
      <c r="P64" s="212"/>
      <c r="Q64" s="212"/>
      <c r="R64" s="153"/>
      <c r="S64" s="151"/>
      <c r="T64" s="153"/>
      <c r="U64" s="151"/>
      <c r="V64" s="213"/>
    </row>
    <row r="65" spans="2:22" s="1" customFormat="1" ht="15">
      <c r="B65" s="154"/>
      <c r="C65" s="428" t="s">
        <v>81</v>
      </c>
      <c r="D65" s="429"/>
      <c r="E65" s="429"/>
      <c r="F65" s="429"/>
      <c r="G65" s="429"/>
      <c r="H65" s="102"/>
      <c r="I65" s="102"/>
      <c r="J65" s="102"/>
      <c r="K65" s="325"/>
      <c r="L65" s="102"/>
      <c r="M65" s="102"/>
      <c r="N65" s="102"/>
      <c r="O65" s="102"/>
      <c r="P65" s="102"/>
      <c r="Q65" s="102"/>
      <c r="R65" s="418" t="s">
        <v>82</v>
      </c>
      <c r="S65" s="401"/>
      <c r="T65" s="401"/>
      <c r="U65" s="401"/>
      <c r="V65" s="122"/>
    </row>
    <row r="66" spans="2:22" s="103" customFormat="1" ht="7.5">
      <c r="B66" s="211"/>
      <c r="C66" s="105"/>
      <c r="D66" s="105"/>
      <c r="E66" s="105"/>
      <c r="F66" s="105"/>
      <c r="G66" s="105"/>
      <c r="H66" s="105"/>
      <c r="I66" s="105"/>
      <c r="J66" s="105"/>
      <c r="K66" s="317"/>
      <c r="P66" s="105"/>
      <c r="Q66" s="105"/>
      <c r="R66" s="212"/>
      <c r="S66" s="212"/>
      <c r="T66" s="212"/>
      <c r="U66" s="212"/>
      <c r="V66" s="213"/>
    </row>
    <row r="67" spans="2:41" s="1" customFormat="1" ht="18">
      <c r="B67" s="154"/>
      <c r="C67" s="75" t="s">
        <v>83</v>
      </c>
      <c r="D67" s="22"/>
      <c r="E67" s="22"/>
      <c r="F67" s="22"/>
      <c r="G67" s="22"/>
      <c r="H67" s="22"/>
      <c r="I67" s="22"/>
      <c r="J67" s="22"/>
      <c r="K67" s="316"/>
      <c r="P67" s="22"/>
      <c r="Q67" s="22"/>
      <c r="R67" s="396">
        <f>SUM(R68:U72)</f>
        <v>0</v>
      </c>
      <c r="S67" s="401"/>
      <c r="T67" s="401"/>
      <c r="U67" s="401"/>
      <c r="V67" s="122"/>
      <c r="X67" s="254">
        <f>R67-N95</f>
        <v>0</v>
      </c>
      <c r="AO67" s="8" t="s">
        <v>84</v>
      </c>
    </row>
    <row r="68" spans="2:22" s="6" customFormat="1" ht="15">
      <c r="B68" s="155"/>
      <c r="C68" s="101"/>
      <c r="D68" s="76" t="s">
        <v>85</v>
      </c>
      <c r="E68" s="101"/>
      <c r="F68" s="101"/>
      <c r="G68" s="101"/>
      <c r="H68" s="101"/>
      <c r="I68" s="101"/>
      <c r="J68" s="101"/>
      <c r="K68" s="326"/>
      <c r="P68" s="101"/>
      <c r="Q68" s="101"/>
      <c r="R68" s="416">
        <f>N96</f>
        <v>0</v>
      </c>
      <c r="S68" s="416"/>
      <c r="T68" s="416"/>
      <c r="U68" s="416"/>
      <c r="V68" s="156"/>
    </row>
    <row r="69" spans="2:22" s="6" customFormat="1" ht="15">
      <c r="B69" s="155"/>
      <c r="C69" s="101"/>
      <c r="D69" s="76" t="s">
        <v>86</v>
      </c>
      <c r="E69" s="101"/>
      <c r="F69" s="101"/>
      <c r="G69" s="101"/>
      <c r="H69" s="101"/>
      <c r="I69" s="101"/>
      <c r="J69" s="101"/>
      <c r="K69" s="326"/>
      <c r="P69" s="101"/>
      <c r="Q69" s="101"/>
      <c r="R69" s="416">
        <f>N122</f>
        <v>0</v>
      </c>
      <c r="S69" s="416"/>
      <c r="T69" s="416"/>
      <c r="U69" s="416"/>
      <c r="V69" s="156"/>
    </row>
    <row r="70" spans="2:22" s="6" customFormat="1" ht="15">
      <c r="B70" s="155"/>
      <c r="C70" s="101"/>
      <c r="D70" s="76" t="s">
        <v>87</v>
      </c>
      <c r="E70" s="101"/>
      <c r="F70" s="101"/>
      <c r="G70" s="101"/>
      <c r="H70" s="101"/>
      <c r="I70" s="101"/>
      <c r="J70" s="101"/>
      <c r="K70" s="326"/>
      <c r="P70" s="101"/>
      <c r="Q70" s="101"/>
      <c r="R70" s="416">
        <f>N201</f>
        <v>0</v>
      </c>
      <c r="S70" s="416"/>
      <c r="T70" s="416"/>
      <c r="U70" s="416"/>
      <c r="V70" s="156"/>
    </row>
    <row r="71" spans="2:22" s="6" customFormat="1" ht="15">
      <c r="B71" s="155"/>
      <c r="C71" s="101"/>
      <c r="D71" s="76" t="s">
        <v>88</v>
      </c>
      <c r="E71" s="101"/>
      <c r="F71" s="101"/>
      <c r="G71" s="101"/>
      <c r="H71" s="101"/>
      <c r="I71" s="101"/>
      <c r="J71" s="101"/>
      <c r="K71" s="326"/>
      <c r="P71" s="101"/>
      <c r="Q71" s="101"/>
      <c r="R71" s="416">
        <f>N230</f>
        <v>0</v>
      </c>
      <c r="S71" s="416"/>
      <c r="T71" s="416"/>
      <c r="U71" s="416"/>
      <c r="V71" s="156"/>
    </row>
    <row r="72" spans="2:22" s="6" customFormat="1" ht="15">
      <c r="B72" s="155"/>
      <c r="C72" s="101"/>
      <c r="D72" s="76" t="str">
        <f>D240</f>
        <v>    998 - Přesun hmot</v>
      </c>
      <c r="E72" s="101"/>
      <c r="F72" s="101"/>
      <c r="G72" s="101"/>
      <c r="H72" s="101"/>
      <c r="I72" s="101"/>
      <c r="J72" s="101"/>
      <c r="K72" s="326"/>
      <c r="P72" s="101"/>
      <c r="Q72" s="101"/>
      <c r="R72" s="416">
        <f>N240</f>
        <v>0</v>
      </c>
      <c r="S72" s="416"/>
      <c r="T72" s="416"/>
      <c r="U72" s="416"/>
      <c r="V72" s="156"/>
    </row>
    <row r="73" spans="2:22" s="103" customFormat="1" ht="7.5">
      <c r="B73" s="211"/>
      <c r="C73" s="105"/>
      <c r="D73" s="105"/>
      <c r="E73" s="105"/>
      <c r="F73" s="105"/>
      <c r="G73" s="105"/>
      <c r="H73" s="105"/>
      <c r="I73" s="105"/>
      <c r="J73" s="105"/>
      <c r="K73" s="317"/>
      <c r="P73" s="105"/>
      <c r="Q73" s="105"/>
      <c r="R73" s="212"/>
      <c r="S73" s="212"/>
      <c r="T73" s="212"/>
      <c r="U73" s="212"/>
      <c r="V73" s="213"/>
    </row>
    <row r="74" spans="2:22" s="1" customFormat="1" ht="18">
      <c r="B74" s="154"/>
      <c r="C74" s="75" t="s">
        <v>89</v>
      </c>
      <c r="D74" s="22"/>
      <c r="E74" s="22"/>
      <c r="F74" s="22"/>
      <c r="G74" s="22"/>
      <c r="H74" s="22"/>
      <c r="I74" s="22"/>
      <c r="J74" s="22"/>
      <c r="K74" s="316"/>
      <c r="P74" s="22"/>
      <c r="Q74" s="22"/>
      <c r="R74" s="423">
        <v>0</v>
      </c>
      <c r="S74" s="401"/>
      <c r="T74" s="401"/>
      <c r="U74" s="401"/>
      <c r="V74" s="122"/>
    </row>
    <row r="75" spans="2:22" s="103" customFormat="1" ht="7.5">
      <c r="B75" s="211"/>
      <c r="C75" s="105"/>
      <c r="D75" s="105"/>
      <c r="E75" s="105"/>
      <c r="F75" s="105"/>
      <c r="G75" s="105"/>
      <c r="H75" s="105"/>
      <c r="I75" s="105"/>
      <c r="J75" s="105"/>
      <c r="K75" s="317"/>
      <c r="P75" s="105"/>
      <c r="Q75" s="105"/>
      <c r="R75" s="212"/>
      <c r="S75" s="212"/>
      <c r="T75" s="212"/>
      <c r="U75" s="212"/>
      <c r="V75" s="213"/>
    </row>
    <row r="76" spans="2:22" s="1" customFormat="1" ht="18">
      <c r="B76" s="154"/>
      <c r="C76" s="67" t="s">
        <v>75</v>
      </c>
      <c r="D76" s="102"/>
      <c r="E76" s="102"/>
      <c r="F76" s="102"/>
      <c r="G76" s="102"/>
      <c r="H76" s="102"/>
      <c r="I76" s="102"/>
      <c r="J76" s="102"/>
      <c r="K76" s="325"/>
      <c r="L76" s="102"/>
      <c r="M76" s="102"/>
      <c r="N76" s="102"/>
      <c r="O76" s="102"/>
      <c r="P76" s="386">
        <f>ROUND(SUM(R67+R74),2)</f>
        <v>0</v>
      </c>
      <c r="Q76" s="427"/>
      <c r="R76" s="427"/>
      <c r="S76" s="427"/>
      <c r="T76" s="427"/>
      <c r="U76" s="427"/>
      <c r="V76" s="122"/>
    </row>
    <row r="77" spans="2:22" s="103" customFormat="1" ht="7.5">
      <c r="B77" s="211"/>
      <c r="C77" s="105"/>
      <c r="D77" s="105"/>
      <c r="E77" s="105"/>
      <c r="F77" s="105"/>
      <c r="G77" s="105"/>
      <c r="H77" s="105"/>
      <c r="I77" s="105"/>
      <c r="J77" s="105"/>
      <c r="K77" s="317"/>
      <c r="L77" s="105"/>
      <c r="M77" s="105"/>
      <c r="N77" s="212"/>
      <c r="O77" s="212"/>
      <c r="P77" s="212"/>
      <c r="Q77" s="212"/>
      <c r="R77" s="153"/>
      <c r="S77" s="151"/>
      <c r="T77" s="153"/>
      <c r="U77" s="151"/>
      <c r="V77" s="213"/>
    </row>
    <row r="78" spans="2:22" ht="13.5">
      <c r="B78" s="185"/>
      <c r="C78" s="185"/>
      <c r="D78" s="185"/>
      <c r="E78" s="185"/>
      <c r="F78" s="185"/>
      <c r="G78" s="185"/>
      <c r="H78" s="185"/>
      <c r="I78" s="185"/>
      <c r="J78" s="185"/>
      <c r="K78" s="327"/>
      <c r="L78" s="185"/>
      <c r="M78" s="185"/>
      <c r="N78" s="186"/>
      <c r="O78" s="186"/>
      <c r="P78" s="186"/>
      <c r="Q78" s="186"/>
      <c r="R78" s="187"/>
      <c r="S78" s="188"/>
      <c r="T78" s="187"/>
      <c r="U78" s="188"/>
      <c r="V78" s="185"/>
    </row>
    <row r="79" spans="2:22" ht="13.5">
      <c r="B79" s="13"/>
      <c r="C79" s="13"/>
      <c r="D79" s="13"/>
      <c r="E79" s="13"/>
      <c r="F79" s="13"/>
      <c r="G79" s="13"/>
      <c r="H79" s="13"/>
      <c r="I79" s="13"/>
      <c r="J79" s="13"/>
      <c r="K79" s="320"/>
      <c r="L79" s="13"/>
      <c r="M79" s="13"/>
      <c r="N79" s="134"/>
      <c r="O79" s="134"/>
      <c r="P79" s="134"/>
      <c r="Q79" s="134"/>
      <c r="R79" s="157"/>
      <c r="S79" s="158"/>
      <c r="T79" s="157"/>
      <c r="U79" s="158"/>
      <c r="V79" s="13"/>
    </row>
    <row r="80" spans="2:22" ht="13.5">
      <c r="B80" s="189"/>
      <c r="C80" s="189"/>
      <c r="D80" s="189"/>
      <c r="E80" s="189"/>
      <c r="F80" s="189"/>
      <c r="G80" s="189"/>
      <c r="H80" s="189"/>
      <c r="I80" s="189"/>
      <c r="J80" s="189"/>
      <c r="K80" s="328"/>
      <c r="L80" s="189"/>
      <c r="M80" s="189"/>
      <c r="N80" s="190"/>
      <c r="O80" s="190"/>
      <c r="P80" s="190"/>
      <c r="Q80" s="190"/>
      <c r="R80" s="191"/>
      <c r="S80" s="192"/>
      <c r="T80" s="191"/>
      <c r="U80" s="192"/>
      <c r="V80" s="189"/>
    </row>
    <row r="81" spans="2:22" s="103" customFormat="1" ht="7.5">
      <c r="B81" s="211"/>
      <c r="C81" s="105"/>
      <c r="D81" s="105"/>
      <c r="E81" s="105"/>
      <c r="F81" s="105"/>
      <c r="G81" s="105"/>
      <c r="H81" s="105"/>
      <c r="I81" s="105"/>
      <c r="J81" s="105"/>
      <c r="K81" s="317"/>
      <c r="L81" s="105"/>
      <c r="M81" s="105"/>
      <c r="N81" s="212"/>
      <c r="O81" s="212"/>
      <c r="P81" s="212"/>
      <c r="Q81" s="212"/>
      <c r="R81" s="153"/>
      <c r="S81" s="151"/>
      <c r="T81" s="153"/>
      <c r="U81" s="151"/>
      <c r="V81" s="213"/>
    </row>
    <row r="82" spans="2:22" s="222" customFormat="1" ht="32.25">
      <c r="B82" s="220"/>
      <c r="C82" s="424" t="s">
        <v>90</v>
      </c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221"/>
    </row>
    <row r="83" spans="2:22" s="103" customFormat="1" ht="7.5">
      <c r="B83" s="211"/>
      <c r="C83" s="105"/>
      <c r="D83" s="105"/>
      <c r="E83" s="105"/>
      <c r="F83" s="105"/>
      <c r="G83" s="105"/>
      <c r="H83" s="105"/>
      <c r="I83" s="105"/>
      <c r="J83" s="105"/>
      <c r="K83" s="317"/>
      <c r="L83" s="105"/>
      <c r="M83" s="105"/>
      <c r="N83" s="212"/>
      <c r="O83" s="212"/>
      <c r="P83" s="212"/>
      <c r="Q83" s="212"/>
      <c r="R83" s="153"/>
      <c r="S83" s="151"/>
      <c r="T83" s="153"/>
      <c r="U83" s="151"/>
      <c r="V83" s="213"/>
    </row>
    <row r="84" spans="2:22" s="1" customFormat="1" ht="18" customHeight="1">
      <c r="B84" s="154"/>
      <c r="C84" s="54" t="s">
        <v>9</v>
      </c>
      <c r="D84" s="22"/>
      <c r="E84" s="22"/>
      <c r="F84" s="404" t="str">
        <f>F5</f>
        <v>Úprava právého chodníku v ul. Čavisovská v Chrudimi od křižovatky s ul. Družtevní po křižovatku s ul. Slovenská - s výměnou obrubníku v místě sjezdu</v>
      </c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148"/>
      <c r="V84" s="122"/>
    </row>
    <row r="85" spans="2:22" s="1" customFormat="1" ht="18" customHeight="1">
      <c r="B85" s="154"/>
      <c r="C85" s="54"/>
      <c r="D85" s="22"/>
      <c r="E85" s="22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148"/>
      <c r="V85" s="122"/>
    </row>
    <row r="86" spans="2:22" s="103" customFormat="1" ht="7.5">
      <c r="B86" s="211"/>
      <c r="C86" s="105"/>
      <c r="D86" s="105"/>
      <c r="E86" s="105"/>
      <c r="F86" s="105"/>
      <c r="G86" s="105"/>
      <c r="H86" s="105"/>
      <c r="I86" s="105"/>
      <c r="J86" s="105"/>
      <c r="K86" s="317"/>
      <c r="L86" s="105"/>
      <c r="M86" s="105"/>
      <c r="N86" s="212"/>
      <c r="O86" s="212"/>
      <c r="P86" s="212"/>
      <c r="Q86" s="212"/>
      <c r="R86" s="153"/>
      <c r="S86" s="151"/>
      <c r="T86" s="153"/>
      <c r="U86" s="151"/>
      <c r="V86" s="213"/>
    </row>
    <row r="87" spans="2:22" s="1" customFormat="1" ht="15">
      <c r="B87" s="154"/>
      <c r="C87" s="18" t="s">
        <v>15</v>
      </c>
      <c r="D87" s="22"/>
      <c r="E87" s="22"/>
      <c r="F87" s="16" t="str">
        <f>F8</f>
        <v> </v>
      </c>
      <c r="G87" s="22"/>
      <c r="H87" s="22"/>
      <c r="I87" s="22"/>
      <c r="J87" s="22"/>
      <c r="K87" s="324" t="s">
        <v>17</v>
      </c>
      <c r="L87" s="22"/>
      <c r="M87" s="425">
        <f>IF(O8="","",O8)</f>
        <v>43888</v>
      </c>
      <c r="N87" s="426"/>
      <c r="O87" s="426"/>
      <c r="P87" s="426"/>
      <c r="Q87" s="135"/>
      <c r="R87" s="116"/>
      <c r="S87" s="148"/>
      <c r="T87" s="116"/>
      <c r="U87" s="148"/>
      <c r="V87" s="122"/>
    </row>
    <row r="88" spans="2:22" s="103" customFormat="1" ht="7.5">
      <c r="B88" s="211"/>
      <c r="C88" s="105"/>
      <c r="D88" s="105"/>
      <c r="E88" s="105"/>
      <c r="F88" s="105"/>
      <c r="G88" s="105"/>
      <c r="H88" s="105"/>
      <c r="I88" s="105"/>
      <c r="J88" s="105"/>
      <c r="K88" s="317"/>
      <c r="L88" s="105"/>
      <c r="M88" s="105"/>
      <c r="N88" s="212"/>
      <c r="O88" s="212"/>
      <c r="P88" s="212"/>
      <c r="Q88" s="212"/>
      <c r="R88" s="153"/>
      <c r="S88" s="151"/>
      <c r="T88" s="153"/>
      <c r="U88" s="151"/>
      <c r="V88" s="213"/>
    </row>
    <row r="89" spans="2:22" s="1" customFormat="1" ht="15">
      <c r="B89" s="154"/>
      <c r="C89" s="18" t="s">
        <v>20</v>
      </c>
      <c r="D89" s="22"/>
      <c r="E89" s="22"/>
      <c r="F89" s="16"/>
      <c r="G89" s="22"/>
      <c r="H89" s="22"/>
      <c r="I89" s="22"/>
      <c r="J89" s="22"/>
      <c r="K89" s="324" t="s">
        <v>24</v>
      </c>
      <c r="L89" s="22"/>
      <c r="M89" s="400"/>
      <c r="N89" s="376"/>
      <c r="O89" s="376"/>
      <c r="P89" s="376"/>
      <c r="Q89" s="376"/>
      <c r="R89" s="116"/>
      <c r="S89" s="148"/>
      <c r="T89" s="116"/>
      <c r="U89" s="148"/>
      <c r="V89" s="122"/>
    </row>
    <row r="90" spans="2:22" s="1" customFormat="1" ht="15">
      <c r="B90" s="154"/>
      <c r="C90" s="18" t="s">
        <v>23</v>
      </c>
      <c r="D90" s="22"/>
      <c r="E90" s="22"/>
      <c r="F90" s="16"/>
      <c r="G90" s="22"/>
      <c r="H90" s="22"/>
      <c r="I90" s="22"/>
      <c r="J90" s="22"/>
      <c r="K90" s="324" t="s">
        <v>26</v>
      </c>
      <c r="L90" s="22"/>
      <c r="M90" s="400"/>
      <c r="N90" s="376"/>
      <c r="O90" s="376"/>
      <c r="P90" s="376"/>
      <c r="Q90" s="376"/>
      <c r="R90" s="116"/>
      <c r="S90" s="148"/>
      <c r="T90" s="116"/>
      <c r="U90" s="148"/>
      <c r="V90" s="122"/>
    </row>
    <row r="91" spans="2:22" s="103" customFormat="1" ht="7.5">
      <c r="B91" s="211"/>
      <c r="C91" s="105"/>
      <c r="D91" s="105"/>
      <c r="E91" s="105"/>
      <c r="F91" s="105"/>
      <c r="G91" s="105"/>
      <c r="H91" s="105"/>
      <c r="I91" s="105"/>
      <c r="J91" s="105"/>
      <c r="K91" s="317"/>
      <c r="L91" s="105"/>
      <c r="M91" s="105"/>
      <c r="N91" s="212"/>
      <c r="O91" s="212"/>
      <c r="P91" s="212"/>
      <c r="Q91" s="212"/>
      <c r="R91" s="153"/>
      <c r="S91" s="151"/>
      <c r="T91" s="153"/>
      <c r="U91" s="151"/>
      <c r="V91" s="213"/>
    </row>
    <row r="92" spans="2:22" s="7" customFormat="1" ht="15">
      <c r="B92" s="159"/>
      <c r="C92" s="437" t="s">
        <v>91</v>
      </c>
      <c r="D92" s="437" t="s">
        <v>92</v>
      </c>
      <c r="E92" s="437" t="s">
        <v>49</v>
      </c>
      <c r="F92" s="437" t="s">
        <v>93</v>
      </c>
      <c r="G92" s="437"/>
      <c r="H92" s="437"/>
      <c r="I92" s="437"/>
      <c r="J92" s="437" t="s">
        <v>94</v>
      </c>
      <c r="K92" s="488" t="s">
        <v>95</v>
      </c>
      <c r="L92" s="437" t="s">
        <v>207</v>
      </c>
      <c r="M92" s="437"/>
      <c r="N92" s="437"/>
      <c r="O92" s="437"/>
      <c r="P92" s="437"/>
      <c r="Q92" s="437"/>
      <c r="R92" s="437" t="s">
        <v>208</v>
      </c>
      <c r="S92" s="437"/>
      <c r="T92" s="437" t="s">
        <v>209</v>
      </c>
      <c r="U92" s="437"/>
      <c r="V92" s="160"/>
    </row>
    <row r="93" spans="2:22" s="7" customFormat="1" ht="15">
      <c r="B93" s="159"/>
      <c r="C93" s="437"/>
      <c r="D93" s="437"/>
      <c r="E93" s="437"/>
      <c r="F93" s="437"/>
      <c r="G93" s="437"/>
      <c r="H93" s="437"/>
      <c r="I93" s="437"/>
      <c r="J93" s="437"/>
      <c r="K93" s="488"/>
      <c r="L93" s="437" t="s">
        <v>210</v>
      </c>
      <c r="M93" s="437"/>
      <c r="N93" s="478" t="s">
        <v>211</v>
      </c>
      <c r="O93" s="478"/>
      <c r="P93" s="478"/>
      <c r="Q93" s="478"/>
      <c r="R93" s="193" t="s">
        <v>210</v>
      </c>
      <c r="S93" s="194" t="s">
        <v>211</v>
      </c>
      <c r="T93" s="193" t="s">
        <v>210</v>
      </c>
      <c r="U93" s="194" t="s">
        <v>211</v>
      </c>
      <c r="V93" s="160"/>
    </row>
    <row r="94" spans="2:22" s="210" customFormat="1" ht="7.5">
      <c r="B94" s="203"/>
      <c r="C94" s="204"/>
      <c r="D94" s="204"/>
      <c r="E94" s="204"/>
      <c r="F94" s="204"/>
      <c r="G94" s="204"/>
      <c r="H94" s="204"/>
      <c r="I94" s="204"/>
      <c r="J94" s="204"/>
      <c r="K94" s="329"/>
      <c r="L94" s="205"/>
      <c r="M94" s="205"/>
      <c r="N94" s="206"/>
      <c r="O94" s="206"/>
      <c r="P94" s="206"/>
      <c r="Q94" s="206"/>
      <c r="R94" s="207"/>
      <c r="S94" s="208"/>
      <c r="T94" s="207"/>
      <c r="U94" s="208"/>
      <c r="V94" s="209"/>
    </row>
    <row r="95" spans="2:57" s="1" customFormat="1" ht="18">
      <c r="B95" s="154"/>
      <c r="C95" s="195" t="s">
        <v>78</v>
      </c>
      <c r="D95" s="196"/>
      <c r="E95" s="196"/>
      <c r="F95" s="196"/>
      <c r="G95" s="196"/>
      <c r="H95" s="196"/>
      <c r="I95" s="196"/>
      <c r="J95" s="196"/>
      <c r="K95" s="330"/>
      <c r="L95" s="196"/>
      <c r="M95" s="196"/>
      <c r="N95" s="466">
        <f>SUM(N97:Q118,N123:Q190,N202:Q229,N231:Q239,N241:Q242)</f>
        <v>0</v>
      </c>
      <c r="O95" s="467"/>
      <c r="P95" s="467"/>
      <c r="Q95" s="467"/>
      <c r="R95" s="197"/>
      <c r="S95" s="198">
        <f>SUM(S97:S118,S123:S190,S202:S225,S231:S239)</f>
        <v>75.81106175000001</v>
      </c>
      <c r="T95" s="197"/>
      <c r="U95" s="198">
        <f>SUM(U97:U118,U123:U190,U202:U225,U231:U239)</f>
        <v>117.77997500000001</v>
      </c>
      <c r="V95" s="122"/>
      <c r="AN95" s="8" t="s">
        <v>66</v>
      </c>
      <c r="AO95" s="8" t="s">
        <v>84</v>
      </c>
      <c r="BE95" s="77" t="e">
        <f>#REF!</f>
        <v>#REF!</v>
      </c>
    </row>
    <row r="96" spans="2:57" s="88" customFormat="1" ht="15">
      <c r="B96" s="161"/>
      <c r="C96" s="199"/>
      <c r="D96" s="200" t="s">
        <v>85</v>
      </c>
      <c r="E96" s="200"/>
      <c r="F96" s="200"/>
      <c r="G96" s="200"/>
      <c r="H96" s="200"/>
      <c r="I96" s="200"/>
      <c r="J96" s="200"/>
      <c r="K96" s="331"/>
      <c r="L96" s="200"/>
      <c r="M96" s="200"/>
      <c r="N96" s="468">
        <f>SUM(N97:Q118)</f>
        <v>0</v>
      </c>
      <c r="O96" s="469"/>
      <c r="P96" s="469"/>
      <c r="Q96" s="469"/>
      <c r="R96" s="201"/>
      <c r="S96" s="202">
        <f>SUM(S97:S118)</f>
        <v>0</v>
      </c>
      <c r="T96" s="201"/>
      <c r="U96" s="202">
        <f>SUM(U97:U118)</f>
        <v>117.77997500000001</v>
      </c>
      <c r="V96" s="162"/>
      <c r="AL96" s="92" t="s">
        <v>14</v>
      </c>
      <c r="AN96" s="93" t="s">
        <v>66</v>
      </c>
      <c r="AO96" s="93" t="s">
        <v>14</v>
      </c>
      <c r="AS96" s="92" t="s">
        <v>96</v>
      </c>
      <c r="BE96" s="94">
        <f>SUM(BE97:BE119)</f>
        <v>0</v>
      </c>
    </row>
    <row r="97" spans="2:59" s="1" customFormat="1" ht="26.25" customHeight="1">
      <c r="B97" s="163"/>
      <c r="C97" s="84">
        <v>1</v>
      </c>
      <c r="D97" s="84" t="s">
        <v>97</v>
      </c>
      <c r="E97" s="85" t="s">
        <v>98</v>
      </c>
      <c r="F97" s="433" t="s">
        <v>99</v>
      </c>
      <c r="G97" s="434"/>
      <c r="H97" s="434"/>
      <c r="I97" s="434"/>
      <c r="J97" s="86" t="s">
        <v>100</v>
      </c>
      <c r="K97" s="332">
        <f>K102</f>
        <v>229.25</v>
      </c>
      <c r="L97" s="430"/>
      <c r="M97" s="431"/>
      <c r="N97" s="432">
        <f>ROUND(L97*K97,2)</f>
        <v>0</v>
      </c>
      <c r="O97" s="432"/>
      <c r="P97" s="432"/>
      <c r="Q97" s="432"/>
      <c r="R97" s="87">
        <v>0</v>
      </c>
      <c r="S97" s="133">
        <f>R97*K97</f>
        <v>0</v>
      </c>
      <c r="T97" s="87">
        <v>0.255</v>
      </c>
      <c r="U97" s="255">
        <f>T97*K97</f>
        <v>58.45875</v>
      </c>
      <c r="V97" s="122"/>
      <c r="AL97" s="8" t="s">
        <v>101</v>
      </c>
      <c r="AN97" s="8" t="s">
        <v>97</v>
      </c>
      <c r="AO97" s="8" t="s">
        <v>76</v>
      </c>
      <c r="AS97" s="8" t="s">
        <v>96</v>
      </c>
      <c r="AY97" s="78" t="e">
        <f>IF(#REF!="základní",N97,0)</f>
        <v>#REF!</v>
      </c>
      <c r="AZ97" s="78" t="e">
        <f>IF(#REF!="snížená",N97,0)</f>
        <v>#REF!</v>
      </c>
      <c r="BA97" s="78" t="e">
        <f>IF(#REF!="zákl. přenesená",N97,0)</f>
        <v>#REF!</v>
      </c>
      <c r="BB97" s="78" t="e">
        <f>IF(#REF!="sníž. přenesená",N97,0)</f>
        <v>#REF!</v>
      </c>
      <c r="BC97" s="78" t="e">
        <f>IF(#REF!="nulová",N97,0)</f>
        <v>#REF!</v>
      </c>
      <c r="BD97" s="8" t="s">
        <v>14</v>
      </c>
      <c r="BE97" s="78">
        <f>ROUND(L97*K97,2)</f>
        <v>0</v>
      </c>
      <c r="BF97" s="8" t="s">
        <v>101</v>
      </c>
      <c r="BG97" s="8" t="s">
        <v>102</v>
      </c>
    </row>
    <row r="98" spans="2:23" s="1" customFormat="1" ht="13.5">
      <c r="B98" s="163"/>
      <c r="C98" s="95"/>
      <c r="D98" s="95"/>
      <c r="E98" s="164" t="s">
        <v>175</v>
      </c>
      <c r="F98" s="165" t="s">
        <v>179</v>
      </c>
      <c r="G98" s="166"/>
      <c r="H98" s="166"/>
      <c r="I98" s="166"/>
      <c r="J98" s="166"/>
      <c r="K98" s="333">
        <f>72.5*1.85+72.5*1.6</f>
        <v>250.125</v>
      </c>
      <c r="L98" s="96"/>
      <c r="M98" s="113"/>
      <c r="N98" s="144"/>
      <c r="O98" s="144"/>
      <c r="P98" s="144"/>
      <c r="Q98" s="144"/>
      <c r="R98" s="116"/>
      <c r="S98" s="148"/>
      <c r="T98" s="116"/>
      <c r="U98" s="256"/>
      <c r="V98" s="167"/>
      <c r="W98" s="79"/>
    </row>
    <row r="99" spans="2:23" s="1" customFormat="1" ht="13.5">
      <c r="B99" s="163"/>
      <c r="C99" s="95"/>
      <c r="D99" s="95"/>
      <c r="E99" s="164" t="s">
        <v>176</v>
      </c>
      <c r="F99" s="165" t="s">
        <v>173</v>
      </c>
      <c r="G99" s="166"/>
      <c r="H99" s="166"/>
      <c r="I99" s="166"/>
      <c r="J99" s="166"/>
      <c r="K99" s="333">
        <f>-2*3.5</f>
        <v>-7</v>
      </c>
      <c r="L99" s="96"/>
      <c r="M99" s="113"/>
      <c r="N99" s="144"/>
      <c r="O99" s="144"/>
      <c r="P99" s="144"/>
      <c r="Q99" s="144"/>
      <c r="R99" s="116"/>
      <c r="S99" s="148"/>
      <c r="T99" s="116"/>
      <c r="U99" s="256"/>
      <c r="V99" s="167"/>
      <c r="W99" s="79"/>
    </row>
    <row r="100" spans="2:23" s="1" customFormat="1" ht="13.5">
      <c r="B100" s="163"/>
      <c r="C100" s="95"/>
      <c r="D100" s="95"/>
      <c r="E100" s="164" t="s">
        <v>177</v>
      </c>
      <c r="F100" s="165" t="s">
        <v>174</v>
      </c>
      <c r="G100" s="166"/>
      <c r="H100" s="166"/>
      <c r="I100" s="166"/>
      <c r="J100" s="166"/>
      <c r="K100" s="333">
        <f>-3.75*1.85</f>
        <v>-6.9375</v>
      </c>
      <c r="L100" s="96"/>
      <c r="M100" s="113"/>
      <c r="N100" s="144"/>
      <c r="O100" s="144"/>
      <c r="P100" s="144"/>
      <c r="Q100" s="144"/>
      <c r="R100" s="116"/>
      <c r="S100" s="148"/>
      <c r="T100" s="116"/>
      <c r="U100" s="256"/>
      <c r="V100" s="167"/>
      <c r="W100" s="79"/>
    </row>
    <row r="101" spans="2:23" s="1" customFormat="1" ht="13.5">
      <c r="B101" s="163"/>
      <c r="C101" s="95"/>
      <c r="D101" s="95"/>
      <c r="E101" s="164" t="s">
        <v>178</v>
      </c>
      <c r="F101" s="165" t="s">
        <v>174</v>
      </c>
      <c r="G101" s="166"/>
      <c r="H101" s="166"/>
      <c r="I101" s="166"/>
      <c r="J101" s="166"/>
      <c r="K101" s="333">
        <f>-3.75*1.85</f>
        <v>-6.9375</v>
      </c>
      <c r="L101" s="96"/>
      <c r="M101" s="113"/>
      <c r="N101" s="144"/>
      <c r="O101" s="144"/>
      <c r="P101" s="144"/>
      <c r="Q101" s="144"/>
      <c r="R101" s="116"/>
      <c r="S101" s="148"/>
      <c r="T101" s="116"/>
      <c r="U101" s="256"/>
      <c r="V101" s="167"/>
      <c r="W101" s="79"/>
    </row>
    <row r="102" spans="2:23" s="1" customFormat="1" ht="13.5">
      <c r="B102" s="163"/>
      <c r="C102" s="95"/>
      <c r="D102" s="95"/>
      <c r="E102" s="80"/>
      <c r="F102" s="81"/>
      <c r="G102" s="82"/>
      <c r="H102" s="82"/>
      <c r="I102" s="82"/>
      <c r="J102" s="83"/>
      <c r="K102" s="334">
        <f>SUM(K98:K101)</f>
        <v>229.25</v>
      </c>
      <c r="L102" s="96"/>
      <c r="M102" s="113"/>
      <c r="N102" s="144"/>
      <c r="O102" s="144"/>
      <c r="P102" s="144"/>
      <c r="Q102" s="144"/>
      <c r="R102" s="116"/>
      <c r="S102" s="148"/>
      <c r="T102" s="116"/>
      <c r="U102" s="256"/>
      <c r="V102" s="167"/>
      <c r="W102" s="79"/>
    </row>
    <row r="103" spans="2:59" s="1" customFormat="1" ht="26.25" customHeight="1">
      <c r="B103" s="163"/>
      <c r="C103" s="84">
        <v>2</v>
      </c>
      <c r="D103" s="84" t="s">
        <v>97</v>
      </c>
      <c r="E103" s="85" t="s">
        <v>103</v>
      </c>
      <c r="F103" s="433" t="s">
        <v>104</v>
      </c>
      <c r="G103" s="434"/>
      <c r="H103" s="434"/>
      <c r="I103" s="434"/>
      <c r="J103" s="86" t="s">
        <v>100</v>
      </c>
      <c r="K103" s="332">
        <f>K107</f>
        <v>20.875</v>
      </c>
      <c r="L103" s="430"/>
      <c r="M103" s="431"/>
      <c r="N103" s="432">
        <f>ROUND(L103*K103,2)</f>
        <v>0</v>
      </c>
      <c r="O103" s="432"/>
      <c r="P103" s="432"/>
      <c r="Q103" s="432"/>
      <c r="R103" s="87">
        <v>0</v>
      </c>
      <c r="S103" s="133">
        <f>R103*K103</f>
        <v>0</v>
      </c>
      <c r="T103" s="87">
        <v>0.26</v>
      </c>
      <c r="U103" s="255">
        <f>T103*K103</f>
        <v>5.4275</v>
      </c>
      <c r="V103" s="122"/>
      <c r="AL103" s="8" t="s">
        <v>101</v>
      </c>
      <c r="AN103" s="8" t="s">
        <v>97</v>
      </c>
      <c r="AO103" s="8" t="s">
        <v>76</v>
      </c>
      <c r="AS103" s="8" t="s">
        <v>96</v>
      </c>
      <c r="AY103" s="78" t="e">
        <f>IF(#REF!="základní",N103,0)</f>
        <v>#REF!</v>
      </c>
      <c r="AZ103" s="78" t="e">
        <f>IF(#REF!="snížená",N103,0)</f>
        <v>#REF!</v>
      </c>
      <c r="BA103" s="78" t="e">
        <f>IF(#REF!="zákl. přenesená",N103,0)</f>
        <v>#REF!</v>
      </c>
      <c r="BB103" s="78" t="e">
        <f>IF(#REF!="sníž. přenesená",N103,0)</f>
        <v>#REF!</v>
      </c>
      <c r="BC103" s="78" t="e">
        <f>IF(#REF!="nulová",N103,0)</f>
        <v>#REF!</v>
      </c>
      <c r="BD103" s="8" t="s">
        <v>14</v>
      </c>
      <c r="BE103" s="78">
        <f>ROUND(L103*K103,2)</f>
        <v>0</v>
      </c>
      <c r="BF103" s="8" t="s">
        <v>101</v>
      </c>
      <c r="BG103" s="8" t="s">
        <v>105</v>
      </c>
    </row>
    <row r="104" spans="2:23" s="1" customFormat="1" ht="13.5">
      <c r="B104" s="163"/>
      <c r="C104" s="95"/>
      <c r="D104" s="95"/>
      <c r="E104" s="164" t="s">
        <v>176</v>
      </c>
      <c r="F104" s="165" t="s">
        <v>171</v>
      </c>
      <c r="G104" s="166"/>
      <c r="H104" s="166"/>
      <c r="I104" s="166"/>
      <c r="J104" s="166"/>
      <c r="K104" s="333">
        <f>2*3.5</f>
        <v>7</v>
      </c>
      <c r="L104" s="96"/>
      <c r="M104" s="113"/>
      <c r="N104" s="144"/>
      <c r="O104" s="144"/>
      <c r="P104" s="144"/>
      <c r="Q104" s="144"/>
      <c r="R104" s="116"/>
      <c r="S104" s="148"/>
      <c r="T104" s="116"/>
      <c r="U104" s="256"/>
      <c r="V104" s="167"/>
      <c r="W104" s="79"/>
    </row>
    <row r="105" spans="2:23" s="1" customFormat="1" ht="13.5">
      <c r="B105" s="163"/>
      <c r="C105" s="95"/>
      <c r="D105" s="95"/>
      <c r="E105" s="164" t="s">
        <v>177</v>
      </c>
      <c r="F105" s="165" t="s">
        <v>172</v>
      </c>
      <c r="G105" s="166"/>
      <c r="H105" s="166"/>
      <c r="I105" s="166"/>
      <c r="J105" s="166"/>
      <c r="K105" s="333">
        <f>3.75*1.85</f>
        <v>6.9375</v>
      </c>
      <c r="L105" s="96"/>
      <c r="M105" s="113"/>
      <c r="N105" s="144"/>
      <c r="O105" s="144"/>
      <c r="P105" s="144"/>
      <c r="Q105" s="144"/>
      <c r="R105" s="116"/>
      <c r="S105" s="148"/>
      <c r="T105" s="116"/>
      <c r="U105" s="256"/>
      <c r="V105" s="167"/>
      <c r="W105" s="79"/>
    </row>
    <row r="106" spans="2:23" s="1" customFormat="1" ht="13.5">
      <c r="B106" s="163"/>
      <c r="C106" s="95"/>
      <c r="D106" s="95"/>
      <c r="E106" s="164" t="s">
        <v>178</v>
      </c>
      <c r="F106" s="165" t="s">
        <v>172</v>
      </c>
      <c r="G106" s="166"/>
      <c r="H106" s="166"/>
      <c r="I106" s="166"/>
      <c r="J106" s="166"/>
      <c r="K106" s="333">
        <f>3.75*1.85</f>
        <v>6.9375</v>
      </c>
      <c r="L106" s="96"/>
      <c r="M106" s="113"/>
      <c r="N106" s="144"/>
      <c r="O106" s="144"/>
      <c r="P106" s="144"/>
      <c r="Q106" s="144"/>
      <c r="R106" s="116"/>
      <c r="S106" s="148"/>
      <c r="T106" s="116"/>
      <c r="U106" s="256"/>
      <c r="V106" s="167"/>
      <c r="W106" s="79"/>
    </row>
    <row r="107" spans="2:23" s="1" customFormat="1" ht="13.5">
      <c r="B107" s="163"/>
      <c r="C107" s="95"/>
      <c r="D107" s="95"/>
      <c r="E107" s="80"/>
      <c r="F107" s="81"/>
      <c r="G107" s="82"/>
      <c r="H107" s="82"/>
      <c r="I107" s="82"/>
      <c r="J107" s="83"/>
      <c r="K107" s="334">
        <f>SUM(K104:K106)</f>
        <v>20.875</v>
      </c>
      <c r="L107" s="96"/>
      <c r="M107" s="113"/>
      <c r="N107" s="144"/>
      <c r="O107" s="144"/>
      <c r="P107" s="144"/>
      <c r="Q107" s="144"/>
      <c r="R107" s="116"/>
      <c r="S107" s="148"/>
      <c r="T107" s="116"/>
      <c r="U107" s="256"/>
      <c r="V107" s="167"/>
      <c r="W107" s="79"/>
    </row>
    <row r="108" spans="2:59" s="1" customFormat="1" ht="26.25" customHeight="1">
      <c r="B108" s="163"/>
      <c r="C108" s="84">
        <v>3</v>
      </c>
      <c r="D108" s="84" t="s">
        <v>97</v>
      </c>
      <c r="E108" s="85" t="s">
        <v>106</v>
      </c>
      <c r="F108" s="433" t="s">
        <v>107</v>
      </c>
      <c r="G108" s="434"/>
      <c r="H108" s="434"/>
      <c r="I108" s="434"/>
      <c r="J108" s="86" t="s">
        <v>100</v>
      </c>
      <c r="K108" s="332">
        <f>K110</f>
        <v>250.125</v>
      </c>
      <c r="L108" s="430"/>
      <c r="M108" s="431"/>
      <c r="N108" s="432">
        <f>ROUND(L108*K108,2)</f>
        <v>0</v>
      </c>
      <c r="O108" s="432"/>
      <c r="P108" s="432"/>
      <c r="Q108" s="432"/>
      <c r="R108" s="87">
        <v>0</v>
      </c>
      <c r="S108" s="133">
        <f>R108*K108</f>
        <v>0</v>
      </c>
      <c r="T108" s="87">
        <v>0.16</v>
      </c>
      <c r="U108" s="255">
        <f>T108*K108</f>
        <v>40.02</v>
      </c>
      <c r="V108" s="122"/>
      <c r="AL108" s="8" t="s">
        <v>101</v>
      </c>
      <c r="AN108" s="8" t="s">
        <v>97</v>
      </c>
      <c r="AO108" s="8" t="s">
        <v>76</v>
      </c>
      <c r="AS108" s="8" t="s">
        <v>96</v>
      </c>
      <c r="AY108" s="78" t="e">
        <f>IF(#REF!="základní",N108,0)</f>
        <v>#REF!</v>
      </c>
      <c r="AZ108" s="78" t="e">
        <f>IF(#REF!="snížená",N108,0)</f>
        <v>#REF!</v>
      </c>
      <c r="BA108" s="78" t="e">
        <f>IF(#REF!="zákl. přenesená",N108,0)</f>
        <v>#REF!</v>
      </c>
      <c r="BB108" s="78" t="e">
        <f>IF(#REF!="sníž. přenesená",N108,0)</f>
        <v>#REF!</v>
      </c>
      <c r="BC108" s="78" t="e">
        <f>IF(#REF!="nulová",N108,0)</f>
        <v>#REF!</v>
      </c>
      <c r="BD108" s="8" t="s">
        <v>14</v>
      </c>
      <c r="BE108" s="78">
        <f>ROUND(L108*K108,2)</f>
        <v>0</v>
      </c>
      <c r="BF108" s="8" t="s">
        <v>101</v>
      </c>
      <c r="BG108" s="8" t="s">
        <v>108</v>
      </c>
    </row>
    <row r="109" spans="2:23" s="1" customFormat="1" ht="13.5">
      <c r="B109" s="163"/>
      <c r="C109" s="95"/>
      <c r="D109" s="95"/>
      <c r="E109" s="164" t="s">
        <v>175</v>
      </c>
      <c r="F109" s="165" t="s">
        <v>179</v>
      </c>
      <c r="G109" s="166"/>
      <c r="H109" s="166"/>
      <c r="I109" s="166"/>
      <c r="J109" s="166"/>
      <c r="K109" s="333">
        <f>72.5*1.85+72.5*1.6</f>
        <v>250.125</v>
      </c>
      <c r="L109" s="96"/>
      <c r="M109" s="113"/>
      <c r="N109" s="144"/>
      <c r="O109" s="144"/>
      <c r="P109" s="144"/>
      <c r="Q109" s="144"/>
      <c r="R109" s="116"/>
      <c r="S109" s="148"/>
      <c r="T109" s="116"/>
      <c r="U109" s="256"/>
      <c r="V109" s="167"/>
      <c r="W109" s="79"/>
    </row>
    <row r="110" spans="2:23" s="1" customFormat="1" ht="13.5">
      <c r="B110" s="163"/>
      <c r="C110" s="95"/>
      <c r="D110" s="95"/>
      <c r="E110" s="80"/>
      <c r="F110" s="81"/>
      <c r="G110" s="82"/>
      <c r="H110" s="82"/>
      <c r="I110" s="82"/>
      <c r="J110" s="83"/>
      <c r="K110" s="334">
        <f>SUM(K109:K109)</f>
        <v>250.125</v>
      </c>
      <c r="L110" s="96"/>
      <c r="M110" s="113"/>
      <c r="N110" s="144"/>
      <c r="O110" s="144"/>
      <c r="P110" s="144"/>
      <c r="Q110" s="144"/>
      <c r="R110" s="116"/>
      <c r="S110" s="148"/>
      <c r="T110" s="116"/>
      <c r="U110" s="256"/>
      <c r="V110" s="167"/>
      <c r="W110" s="79"/>
    </row>
    <row r="111" spans="2:59" s="1" customFormat="1" ht="26.25" customHeight="1">
      <c r="B111" s="163"/>
      <c r="C111" s="109">
        <v>4</v>
      </c>
      <c r="D111" s="109" t="s">
        <v>97</v>
      </c>
      <c r="E111" s="110" t="s">
        <v>109</v>
      </c>
      <c r="F111" s="435" t="s">
        <v>110</v>
      </c>
      <c r="G111" s="436"/>
      <c r="H111" s="436"/>
      <c r="I111" s="436"/>
      <c r="J111" s="111" t="s">
        <v>100</v>
      </c>
      <c r="K111" s="336">
        <f>K114</f>
        <v>23.475</v>
      </c>
      <c r="L111" s="430"/>
      <c r="M111" s="431"/>
      <c r="N111" s="432">
        <f>ROUND(L111*K111,2)</f>
        <v>0</v>
      </c>
      <c r="O111" s="432"/>
      <c r="P111" s="432"/>
      <c r="Q111" s="432"/>
      <c r="R111" s="87">
        <v>0</v>
      </c>
      <c r="S111" s="133">
        <f>R111*K111</f>
        <v>0</v>
      </c>
      <c r="T111" s="87">
        <v>0.181</v>
      </c>
      <c r="U111" s="255">
        <f>T111*K111</f>
        <v>4.248975</v>
      </c>
      <c r="V111" s="122"/>
      <c r="AL111" s="8" t="s">
        <v>101</v>
      </c>
      <c r="AN111" s="8" t="s">
        <v>97</v>
      </c>
      <c r="AO111" s="8" t="s">
        <v>76</v>
      </c>
      <c r="AS111" s="8" t="s">
        <v>96</v>
      </c>
      <c r="AY111" s="78" t="e">
        <f>IF(#REF!="základní",N111,0)</f>
        <v>#REF!</v>
      </c>
      <c r="AZ111" s="78" t="e">
        <f>IF(#REF!="snížená",N111,0)</f>
        <v>#REF!</v>
      </c>
      <c r="BA111" s="78" t="e">
        <f>IF(#REF!="zákl. přenesená",N111,0)</f>
        <v>#REF!</v>
      </c>
      <c r="BB111" s="78" t="e">
        <f>IF(#REF!="sníž. přenesená",N111,0)</f>
        <v>#REF!</v>
      </c>
      <c r="BC111" s="78" t="e">
        <f>IF(#REF!="nulová",N111,0)</f>
        <v>#REF!</v>
      </c>
      <c r="BD111" s="8" t="s">
        <v>14</v>
      </c>
      <c r="BE111" s="78">
        <f>ROUND(L111*K111,2)</f>
        <v>0</v>
      </c>
      <c r="BF111" s="8" t="s">
        <v>101</v>
      </c>
      <c r="BG111" s="8" t="s">
        <v>111</v>
      </c>
    </row>
    <row r="112" spans="2:23" s="1" customFormat="1" ht="13.5">
      <c r="B112" s="163"/>
      <c r="C112" s="293"/>
      <c r="D112" s="293"/>
      <c r="E112" s="294" t="s">
        <v>241</v>
      </c>
      <c r="F112" s="295" t="s">
        <v>247</v>
      </c>
      <c r="G112" s="296"/>
      <c r="H112" s="296"/>
      <c r="I112" s="296"/>
      <c r="J112" s="296"/>
      <c r="K112" s="297">
        <f>(2*1+2*6)*0.5</f>
        <v>7</v>
      </c>
      <c r="L112" s="96"/>
      <c r="M112" s="113"/>
      <c r="N112" s="289"/>
      <c r="O112" s="289"/>
      <c r="P112" s="289"/>
      <c r="Q112" s="289"/>
      <c r="R112" s="116"/>
      <c r="S112" s="148"/>
      <c r="T112" s="116"/>
      <c r="U112" s="148"/>
      <c r="V112" s="167"/>
      <c r="W112" s="79"/>
    </row>
    <row r="113" spans="2:23" s="1" customFormat="1" ht="13.5">
      <c r="B113" s="163"/>
      <c r="C113" s="293"/>
      <c r="D113" s="293"/>
      <c r="E113" s="294" t="s">
        <v>243</v>
      </c>
      <c r="F113" s="295" t="s">
        <v>248</v>
      </c>
      <c r="G113" s="296"/>
      <c r="H113" s="296"/>
      <c r="I113" s="296"/>
      <c r="J113" s="296"/>
      <c r="K113" s="297">
        <f>(3+2.9+3.45+7.5+7.5+4+4.6)*0.5</f>
        <v>16.475</v>
      </c>
      <c r="L113" s="96"/>
      <c r="M113" s="113"/>
      <c r="N113" s="289"/>
      <c r="O113" s="289"/>
      <c r="P113" s="289"/>
      <c r="Q113" s="289"/>
      <c r="R113" s="116"/>
      <c r="S113" s="148"/>
      <c r="T113" s="116"/>
      <c r="U113" s="148"/>
      <c r="V113" s="167"/>
      <c r="W113" s="79"/>
    </row>
    <row r="114" spans="2:23" s="1" customFormat="1" ht="13.5">
      <c r="B114" s="163"/>
      <c r="C114" s="293"/>
      <c r="D114" s="293"/>
      <c r="E114" s="298"/>
      <c r="F114" s="299"/>
      <c r="G114" s="300"/>
      <c r="H114" s="300"/>
      <c r="I114" s="300"/>
      <c r="J114" s="301"/>
      <c r="K114" s="338">
        <f>SUM(K112:K113)</f>
        <v>23.475</v>
      </c>
      <c r="L114" s="96"/>
      <c r="M114" s="113"/>
      <c r="N114" s="289"/>
      <c r="O114" s="289"/>
      <c r="P114" s="289"/>
      <c r="Q114" s="289"/>
      <c r="R114" s="116"/>
      <c r="S114" s="148"/>
      <c r="T114" s="116"/>
      <c r="U114" s="256"/>
      <c r="V114" s="167"/>
      <c r="W114" s="79"/>
    </row>
    <row r="115" spans="2:59" s="1" customFormat="1" ht="26.25" customHeight="1">
      <c r="B115" s="163"/>
      <c r="C115" s="109">
        <v>5</v>
      </c>
      <c r="D115" s="109" t="s">
        <v>97</v>
      </c>
      <c r="E115" s="110" t="s">
        <v>112</v>
      </c>
      <c r="F115" s="435" t="s">
        <v>113</v>
      </c>
      <c r="G115" s="436"/>
      <c r="H115" s="436"/>
      <c r="I115" s="436"/>
      <c r="J115" s="111" t="s">
        <v>100</v>
      </c>
      <c r="K115" s="336">
        <f>K117</f>
        <v>250.125</v>
      </c>
      <c r="L115" s="430"/>
      <c r="M115" s="431"/>
      <c r="N115" s="432">
        <f>ROUND(L115*K115,2)</f>
        <v>0</v>
      </c>
      <c r="O115" s="432"/>
      <c r="P115" s="432"/>
      <c r="Q115" s="432"/>
      <c r="R115" s="87">
        <v>0</v>
      </c>
      <c r="S115" s="133">
        <f>R115*K115</f>
        <v>0</v>
      </c>
      <c r="T115" s="87">
        <v>0</v>
      </c>
      <c r="U115" s="255">
        <f>T115*K115</f>
        <v>0</v>
      </c>
      <c r="V115" s="122"/>
      <c r="AL115" s="8" t="s">
        <v>101</v>
      </c>
      <c r="AN115" s="8" t="s">
        <v>97</v>
      </c>
      <c r="AO115" s="8" t="s">
        <v>76</v>
      </c>
      <c r="AS115" s="8" t="s">
        <v>96</v>
      </c>
      <c r="AY115" s="78" t="e">
        <f>IF(#REF!="základní",N115,0)</f>
        <v>#REF!</v>
      </c>
      <c r="AZ115" s="78" t="e">
        <f>IF(#REF!="snížená",N115,0)</f>
        <v>#REF!</v>
      </c>
      <c r="BA115" s="78" t="e">
        <f>IF(#REF!="zákl. přenesená",N115,0)</f>
        <v>#REF!</v>
      </c>
      <c r="BB115" s="78" t="e">
        <f>IF(#REF!="sníž. přenesená",N115,0)</f>
        <v>#REF!</v>
      </c>
      <c r="BC115" s="78" t="e">
        <f>IF(#REF!="nulová",N115,0)</f>
        <v>#REF!</v>
      </c>
      <c r="BD115" s="8" t="s">
        <v>14</v>
      </c>
      <c r="BE115" s="78">
        <f>ROUND(L115*K115,2)</f>
        <v>0</v>
      </c>
      <c r="BF115" s="8" t="s">
        <v>101</v>
      </c>
      <c r="BG115" s="8" t="s">
        <v>114</v>
      </c>
    </row>
    <row r="116" spans="2:23" s="1" customFormat="1" ht="13.5">
      <c r="B116" s="163"/>
      <c r="C116" s="293"/>
      <c r="D116" s="293"/>
      <c r="E116" s="294" t="s">
        <v>175</v>
      </c>
      <c r="F116" s="295" t="s">
        <v>179</v>
      </c>
      <c r="G116" s="296"/>
      <c r="H116" s="296"/>
      <c r="I116" s="296"/>
      <c r="J116" s="296"/>
      <c r="K116" s="346">
        <f>72.5*1.85+72.5*1.6</f>
        <v>250.125</v>
      </c>
      <c r="L116" s="96"/>
      <c r="M116" s="113"/>
      <c r="N116" s="144"/>
      <c r="O116" s="144"/>
      <c r="P116" s="144"/>
      <c r="Q116" s="144"/>
      <c r="R116" s="116"/>
      <c r="S116" s="148"/>
      <c r="T116" s="116"/>
      <c r="U116" s="256"/>
      <c r="V116" s="167"/>
      <c r="W116" s="79"/>
    </row>
    <row r="117" spans="2:23" s="1" customFormat="1" ht="26.25" customHeight="1">
      <c r="B117" s="163"/>
      <c r="C117" s="293"/>
      <c r="D117" s="293"/>
      <c r="E117" s="298"/>
      <c r="F117" s="299"/>
      <c r="G117" s="300"/>
      <c r="H117" s="300"/>
      <c r="I117" s="300"/>
      <c r="J117" s="301"/>
      <c r="K117" s="338">
        <f>SUM(K116:K116)</f>
        <v>250.125</v>
      </c>
      <c r="L117" s="96"/>
      <c r="M117" s="113"/>
      <c r="N117" s="144"/>
      <c r="O117" s="144"/>
      <c r="P117" s="144"/>
      <c r="Q117" s="144"/>
      <c r="R117" s="116"/>
      <c r="S117" s="148"/>
      <c r="T117" s="116"/>
      <c r="U117" s="256"/>
      <c r="V117" s="167"/>
      <c r="W117" s="79"/>
    </row>
    <row r="118" spans="2:59" s="1" customFormat="1" ht="13.5">
      <c r="B118" s="163"/>
      <c r="C118" s="109">
        <v>6</v>
      </c>
      <c r="D118" s="109" t="s">
        <v>97</v>
      </c>
      <c r="E118" s="110" t="s">
        <v>115</v>
      </c>
      <c r="F118" s="435" t="s">
        <v>116</v>
      </c>
      <c r="G118" s="436"/>
      <c r="H118" s="436"/>
      <c r="I118" s="436"/>
      <c r="J118" s="111" t="s">
        <v>117</v>
      </c>
      <c r="K118" s="336">
        <f>K121</f>
        <v>46.95</v>
      </c>
      <c r="L118" s="430"/>
      <c r="M118" s="431"/>
      <c r="N118" s="432">
        <f>ROUND(L118*K118,2)</f>
        <v>0</v>
      </c>
      <c r="O118" s="432"/>
      <c r="P118" s="432"/>
      <c r="Q118" s="432"/>
      <c r="R118" s="87">
        <v>0</v>
      </c>
      <c r="S118" s="133">
        <f>R118*K118</f>
        <v>0</v>
      </c>
      <c r="T118" s="87">
        <v>0.205</v>
      </c>
      <c r="U118" s="255">
        <f>T118*K118</f>
        <v>9.62475</v>
      </c>
      <c r="V118" s="122"/>
      <c r="AL118" s="8" t="s">
        <v>101</v>
      </c>
      <c r="AN118" s="8" t="s">
        <v>97</v>
      </c>
      <c r="AO118" s="8" t="s">
        <v>76</v>
      </c>
      <c r="AS118" s="8" t="s">
        <v>96</v>
      </c>
      <c r="AY118" s="78" t="e">
        <f>IF(#REF!="základní",N118,0)</f>
        <v>#REF!</v>
      </c>
      <c r="AZ118" s="78" t="e">
        <f>IF(#REF!="snížená",N118,0)</f>
        <v>#REF!</v>
      </c>
      <c r="BA118" s="78" t="e">
        <f>IF(#REF!="zákl. přenesená",N118,0)</f>
        <v>#REF!</v>
      </c>
      <c r="BB118" s="78" t="e">
        <f>IF(#REF!="sníž. přenesená",N118,0)</f>
        <v>#REF!</v>
      </c>
      <c r="BC118" s="78" t="e">
        <f>IF(#REF!="nulová",N118,0)</f>
        <v>#REF!</v>
      </c>
      <c r="BD118" s="8" t="s">
        <v>14</v>
      </c>
      <c r="BE118" s="78">
        <f>ROUND(L118*K118,2)</f>
        <v>0</v>
      </c>
      <c r="BF118" s="8" t="s">
        <v>101</v>
      </c>
      <c r="BG118" s="8" t="s">
        <v>118</v>
      </c>
    </row>
    <row r="119" spans="2:23" s="1" customFormat="1" ht="13.5">
      <c r="B119" s="163"/>
      <c r="C119" s="293"/>
      <c r="D119" s="293"/>
      <c r="E119" s="294" t="s">
        <v>241</v>
      </c>
      <c r="F119" s="295" t="s">
        <v>242</v>
      </c>
      <c r="G119" s="296"/>
      <c r="H119" s="296"/>
      <c r="I119" s="296"/>
      <c r="J119" s="296"/>
      <c r="K119" s="297">
        <f>2*1+2*6</f>
        <v>14</v>
      </c>
      <c r="L119" s="96"/>
      <c r="M119" s="113"/>
      <c r="N119" s="144"/>
      <c r="O119" s="144"/>
      <c r="P119" s="144"/>
      <c r="Q119" s="144"/>
      <c r="R119" s="116"/>
      <c r="S119" s="148"/>
      <c r="T119" s="116"/>
      <c r="U119" s="148"/>
      <c r="V119" s="167"/>
      <c r="W119" s="79"/>
    </row>
    <row r="120" spans="2:23" s="1" customFormat="1" ht="13.5">
      <c r="B120" s="163"/>
      <c r="C120" s="293"/>
      <c r="D120" s="293"/>
      <c r="E120" s="294" t="s">
        <v>243</v>
      </c>
      <c r="F120" s="295" t="s">
        <v>244</v>
      </c>
      <c r="G120" s="296"/>
      <c r="H120" s="296"/>
      <c r="I120" s="296"/>
      <c r="J120" s="296"/>
      <c r="K120" s="297">
        <f>3+2.9+3.45+7.5+7.5+4+4.6</f>
        <v>32.95</v>
      </c>
      <c r="L120" s="96"/>
      <c r="M120" s="113"/>
      <c r="N120" s="289"/>
      <c r="O120" s="289"/>
      <c r="P120" s="289"/>
      <c r="Q120" s="289"/>
      <c r="R120" s="116"/>
      <c r="S120" s="148"/>
      <c r="T120" s="116"/>
      <c r="U120" s="148"/>
      <c r="V120" s="167"/>
      <c r="W120" s="79"/>
    </row>
    <row r="121" spans="2:23" s="1" customFormat="1" ht="13.5">
      <c r="B121" s="163"/>
      <c r="C121" s="293"/>
      <c r="D121" s="293"/>
      <c r="E121" s="298"/>
      <c r="F121" s="299"/>
      <c r="G121" s="300"/>
      <c r="H121" s="300"/>
      <c r="I121" s="300"/>
      <c r="J121" s="301"/>
      <c r="K121" s="338">
        <f>SUM(K119:K120)</f>
        <v>46.95</v>
      </c>
      <c r="L121" s="96"/>
      <c r="M121" s="113"/>
      <c r="N121" s="144"/>
      <c r="O121" s="144"/>
      <c r="P121" s="144"/>
      <c r="Q121" s="144"/>
      <c r="R121" s="116"/>
      <c r="S121" s="148"/>
      <c r="T121" s="116"/>
      <c r="U121" s="148"/>
      <c r="V121" s="167"/>
      <c r="W121" s="79"/>
    </row>
    <row r="122" spans="2:57" s="88" customFormat="1" ht="15">
      <c r="B122" s="161"/>
      <c r="C122" s="199"/>
      <c r="D122" s="200" t="s">
        <v>86</v>
      </c>
      <c r="E122" s="200"/>
      <c r="F122" s="200"/>
      <c r="G122" s="200"/>
      <c r="H122" s="200"/>
      <c r="I122" s="200"/>
      <c r="J122" s="200"/>
      <c r="K122" s="331"/>
      <c r="L122" s="114"/>
      <c r="M122" s="114"/>
      <c r="N122" s="481">
        <f>SUM(N123:Q200)</f>
        <v>0</v>
      </c>
      <c r="O122" s="482"/>
      <c r="P122" s="482"/>
      <c r="Q122" s="482"/>
      <c r="R122" s="115"/>
      <c r="S122" s="149">
        <f>SUM(S123:S200)</f>
        <v>59.774146249999994</v>
      </c>
      <c r="T122" s="115"/>
      <c r="U122" s="149">
        <f>SUM(U123:U200)</f>
        <v>0</v>
      </c>
      <c r="V122" s="162"/>
      <c r="AL122" s="92" t="s">
        <v>14</v>
      </c>
      <c r="AN122" s="93" t="s">
        <v>66</v>
      </c>
      <c r="AO122" s="93" t="s">
        <v>14</v>
      </c>
      <c r="AS122" s="92" t="s">
        <v>96</v>
      </c>
      <c r="BE122" s="94">
        <f>SUM(BE123:BE200)</f>
        <v>0</v>
      </c>
    </row>
    <row r="123" spans="2:59" s="1" customFormat="1" ht="13.5">
      <c r="B123" s="163"/>
      <c r="C123" s="109">
        <v>7</v>
      </c>
      <c r="D123" s="109" t="s">
        <v>97</v>
      </c>
      <c r="E123" s="110" t="s">
        <v>119</v>
      </c>
      <c r="F123" s="435" t="s">
        <v>120</v>
      </c>
      <c r="G123" s="436"/>
      <c r="H123" s="436"/>
      <c r="I123" s="436"/>
      <c r="J123" s="111" t="s">
        <v>100</v>
      </c>
      <c r="K123" s="336">
        <f>K125</f>
        <v>250.125</v>
      </c>
      <c r="L123" s="430"/>
      <c r="M123" s="431"/>
      <c r="N123" s="432">
        <f>ROUND(L123*K123,2)</f>
        <v>0</v>
      </c>
      <c r="O123" s="432"/>
      <c r="P123" s="432"/>
      <c r="Q123" s="432"/>
      <c r="R123" s="87">
        <v>0</v>
      </c>
      <c r="S123" s="133">
        <f>R123*K123</f>
        <v>0</v>
      </c>
      <c r="T123" s="87">
        <v>0</v>
      </c>
      <c r="U123" s="133">
        <f>T123*K123</f>
        <v>0</v>
      </c>
      <c r="V123" s="122"/>
      <c r="AL123" s="8" t="s">
        <v>101</v>
      </c>
      <c r="AN123" s="8" t="s">
        <v>97</v>
      </c>
      <c r="AO123" s="8" t="s">
        <v>76</v>
      </c>
      <c r="AS123" s="8" t="s">
        <v>96</v>
      </c>
      <c r="AY123" s="78" t="e">
        <f>IF(#REF!="základní",N123,0)</f>
        <v>#REF!</v>
      </c>
      <c r="AZ123" s="78" t="e">
        <f>IF(#REF!="snížená",N123,0)</f>
        <v>#REF!</v>
      </c>
      <c r="BA123" s="78" t="e">
        <f>IF(#REF!="zákl. přenesená",N123,0)</f>
        <v>#REF!</v>
      </c>
      <c r="BB123" s="78" t="e">
        <f>IF(#REF!="sníž. přenesená",N123,0)</f>
        <v>#REF!</v>
      </c>
      <c r="BC123" s="78" t="e">
        <f>IF(#REF!="nulová",N123,0)</f>
        <v>#REF!</v>
      </c>
      <c r="BD123" s="8" t="s">
        <v>14</v>
      </c>
      <c r="BE123" s="78">
        <f>ROUND(L123*K123,2)</f>
        <v>0</v>
      </c>
      <c r="BF123" s="8" t="s">
        <v>101</v>
      </c>
      <c r="BG123" s="8" t="s">
        <v>121</v>
      </c>
    </row>
    <row r="124" spans="2:23" s="1" customFormat="1" ht="13.5">
      <c r="B124" s="163"/>
      <c r="C124" s="293"/>
      <c r="D124" s="293"/>
      <c r="E124" s="294" t="s">
        <v>175</v>
      </c>
      <c r="F124" s="295" t="s">
        <v>179</v>
      </c>
      <c r="G124" s="296"/>
      <c r="H124" s="296"/>
      <c r="I124" s="296"/>
      <c r="J124" s="296"/>
      <c r="K124" s="346">
        <f>72.5*1.85+72.5*1.6</f>
        <v>250.125</v>
      </c>
      <c r="L124" s="96"/>
      <c r="M124" s="113"/>
      <c r="N124" s="144"/>
      <c r="O124" s="144"/>
      <c r="P124" s="144"/>
      <c r="Q124" s="144"/>
      <c r="R124" s="116"/>
      <c r="S124" s="148"/>
      <c r="T124" s="116"/>
      <c r="U124" s="148"/>
      <c r="V124" s="167"/>
      <c r="W124" s="79"/>
    </row>
    <row r="125" spans="2:23" s="1" customFormat="1" ht="13.5">
      <c r="B125" s="163"/>
      <c r="C125" s="293"/>
      <c r="D125" s="293"/>
      <c r="E125" s="298"/>
      <c r="F125" s="299"/>
      <c r="G125" s="300"/>
      <c r="H125" s="300"/>
      <c r="I125" s="300"/>
      <c r="J125" s="301"/>
      <c r="K125" s="338">
        <f>SUM(K124:K124)</f>
        <v>250.125</v>
      </c>
      <c r="L125" s="96"/>
      <c r="M125" s="113"/>
      <c r="N125" s="144"/>
      <c r="O125" s="144"/>
      <c r="P125" s="144"/>
      <c r="Q125" s="144"/>
      <c r="R125" s="116"/>
      <c r="S125" s="148"/>
      <c r="T125" s="116"/>
      <c r="U125" s="148"/>
      <c r="V125" s="167"/>
      <c r="W125" s="79"/>
    </row>
    <row r="126" spans="2:22" s="1" customFormat="1" ht="26.25" customHeight="1">
      <c r="B126" s="154"/>
      <c r="C126" s="347">
        <v>8</v>
      </c>
      <c r="D126" s="347" t="s">
        <v>97</v>
      </c>
      <c r="E126" s="348" t="s">
        <v>198</v>
      </c>
      <c r="F126" s="470" t="s">
        <v>199</v>
      </c>
      <c r="G126" s="471"/>
      <c r="H126" s="471"/>
      <c r="I126" s="471"/>
      <c r="J126" s="349" t="s">
        <v>100</v>
      </c>
      <c r="K126" s="350">
        <f>K130</f>
        <v>23.475</v>
      </c>
      <c r="L126" s="411"/>
      <c r="M126" s="411"/>
      <c r="N126" s="413">
        <f>ROUND(L126*K126,2)</f>
        <v>0</v>
      </c>
      <c r="O126" s="413"/>
      <c r="P126" s="413"/>
      <c r="Q126" s="413"/>
      <c r="R126" s="121">
        <v>0.10373</v>
      </c>
      <c r="S126" s="120">
        <f>R126*K126</f>
        <v>2.43506175</v>
      </c>
      <c r="T126" s="121">
        <v>0</v>
      </c>
      <c r="U126" s="120">
        <f>T126*K126</f>
        <v>0</v>
      </c>
      <c r="V126" s="122"/>
    </row>
    <row r="127" spans="2:22" s="1" customFormat="1" ht="26.25" customHeight="1">
      <c r="B127" s="154"/>
      <c r="C127" s="351">
        <v>9</v>
      </c>
      <c r="D127" s="351" t="s">
        <v>97</v>
      </c>
      <c r="E127" s="352" t="s">
        <v>200</v>
      </c>
      <c r="F127" s="472" t="s">
        <v>201</v>
      </c>
      <c r="G127" s="472"/>
      <c r="H127" s="472"/>
      <c r="I127" s="472"/>
      <c r="J127" s="353" t="s">
        <v>100</v>
      </c>
      <c r="K127" s="354">
        <f>K126</f>
        <v>23.475</v>
      </c>
      <c r="L127" s="410"/>
      <c r="M127" s="410"/>
      <c r="N127" s="412">
        <f>ROUND(L127*K127,2)</f>
        <v>0</v>
      </c>
      <c r="O127" s="412"/>
      <c r="P127" s="412"/>
      <c r="Q127" s="412"/>
      <c r="R127" s="127">
        <v>0.00071</v>
      </c>
      <c r="S127" s="126">
        <f>R127*K127</f>
        <v>0.01666725</v>
      </c>
      <c r="T127" s="127">
        <v>0</v>
      </c>
      <c r="U127" s="126">
        <f>T127*K127</f>
        <v>0</v>
      </c>
      <c r="V127" s="122"/>
    </row>
    <row r="128" spans="2:23" s="1" customFormat="1" ht="13.5">
      <c r="B128" s="163"/>
      <c r="C128" s="293"/>
      <c r="D128" s="293"/>
      <c r="E128" s="294" t="s">
        <v>241</v>
      </c>
      <c r="F128" s="295" t="s">
        <v>247</v>
      </c>
      <c r="G128" s="296"/>
      <c r="H128" s="296"/>
      <c r="I128" s="296"/>
      <c r="J128" s="296"/>
      <c r="K128" s="297">
        <f>(2*1+2*6)*0.5</f>
        <v>7</v>
      </c>
      <c r="L128" s="96"/>
      <c r="M128" s="113"/>
      <c r="N128" s="289"/>
      <c r="O128" s="289"/>
      <c r="P128" s="289"/>
      <c r="Q128" s="289"/>
      <c r="R128" s="116"/>
      <c r="S128" s="148"/>
      <c r="T128" s="116"/>
      <c r="U128" s="148"/>
      <c r="V128" s="167"/>
      <c r="W128" s="79"/>
    </row>
    <row r="129" spans="2:23" s="1" customFormat="1" ht="13.5">
      <c r="B129" s="163"/>
      <c r="C129" s="293"/>
      <c r="D129" s="293"/>
      <c r="E129" s="294" t="s">
        <v>243</v>
      </c>
      <c r="F129" s="295" t="s">
        <v>248</v>
      </c>
      <c r="G129" s="296"/>
      <c r="H129" s="296"/>
      <c r="I129" s="296"/>
      <c r="J129" s="296"/>
      <c r="K129" s="297">
        <f>(3+2.9+3.45+7.5+7.5+4+4.6)*0.5</f>
        <v>16.475</v>
      </c>
      <c r="L129" s="96"/>
      <c r="M129" s="113"/>
      <c r="N129" s="289"/>
      <c r="O129" s="289"/>
      <c r="P129" s="289"/>
      <c r="Q129" s="289"/>
      <c r="R129" s="116"/>
      <c r="S129" s="148"/>
      <c r="T129" s="116"/>
      <c r="U129" s="148"/>
      <c r="V129" s="167"/>
      <c r="W129" s="79"/>
    </row>
    <row r="130" spans="2:23" s="1" customFormat="1" ht="13.5">
      <c r="B130" s="163"/>
      <c r="C130" s="293"/>
      <c r="D130" s="293"/>
      <c r="E130" s="298"/>
      <c r="F130" s="299"/>
      <c r="G130" s="300"/>
      <c r="H130" s="300"/>
      <c r="I130" s="300"/>
      <c r="J130" s="301"/>
      <c r="K130" s="338">
        <f>SUM(K128:K129)</f>
        <v>23.475</v>
      </c>
      <c r="L130" s="96"/>
      <c r="M130" s="113"/>
      <c r="N130" s="144"/>
      <c r="O130" s="144"/>
      <c r="P130" s="144"/>
      <c r="Q130" s="144"/>
      <c r="R130" s="116"/>
      <c r="S130" s="148"/>
      <c r="T130" s="116"/>
      <c r="U130" s="148"/>
      <c r="V130" s="167"/>
      <c r="W130" s="79"/>
    </row>
    <row r="131" spans="2:59" s="1" customFormat="1" ht="26.25" customHeight="1">
      <c r="B131" s="163"/>
      <c r="C131" s="109">
        <v>10</v>
      </c>
      <c r="D131" s="109" t="s">
        <v>97</v>
      </c>
      <c r="E131" s="110" t="s">
        <v>122</v>
      </c>
      <c r="F131" s="435" t="s">
        <v>123</v>
      </c>
      <c r="G131" s="436"/>
      <c r="H131" s="436"/>
      <c r="I131" s="436"/>
      <c r="J131" s="111" t="s">
        <v>100</v>
      </c>
      <c r="K131" s="336">
        <f>K146</f>
        <v>189.13499999999996</v>
      </c>
      <c r="L131" s="430"/>
      <c r="M131" s="431"/>
      <c r="N131" s="432">
        <f>ROUND(L131*K131,2)</f>
        <v>0</v>
      </c>
      <c r="O131" s="432"/>
      <c r="P131" s="432"/>
      <c r="Q131" s="432"/>
      <c r="R131" s="87">
        <v>0.08425</v>
      </c>
      <c r="S131" s="133">
        <f>R131*K131</f>
        <v>15.934623749999998</v>
      </c>
      <c r="T131" s="87">
        <v>0</v>
      </c>
      <c r="U131" s="133">
        <f>T131*K131</f>
        <v>0</v>
      </c>
      <c r="V131" s="122"/>
      <c r="AL131" s="8" t="s">
        <v>101</v>
      </c>
      <c r="AN131" s="8" t="s">
        <v>97</v>
      </c>
      <c r="AO131" s="8" t="s">
        <v>76</v>
      </c>
      <c r="AS131" s="8" t="s">
        <v>96</v>
      </c>
      <c r="AY131" s="78" t="e">
        <f>IF(#REF!="základní",N131,0)</f>
        <v>#REF!</v>
      </c>
      <c r="AZ131" s="78" t="e">
        <f>IF(#REF!="snížená",N131,0)</f>
        <v>#REF!</v>
      </c>
      <c r="BA131" s="78" t="e">
        <f>IF(#REF!="zákl. přenesená",N131,0)</f>
        <v>#REF!</v>
      </c>
      <c r="BB131" s="78" t="e">
        <f>IF(#REF!="sníž. přenesená",N131,0)</f>
        <v>#REF!</v>
      </c>
      <c r="BC131" s="78" t="e">
        <f>IF(#REF!="nulová",N131,0)</f>
        <v>#REF!</v>
      </c>
      <c r="BD131" s="8" t="s">
        <v>14</v>
      </c>
      <c r="BE131" s="78">
        <f>ROUND(L131*K131,2)</f>
        <v>0</v>
      </c>
      <c r="BF131" s="8" t="s">
        <v>101</v>
      </c>
      <c r="BG131" s="8" t="s">
        <v>124</v>
      </c>
    </row>
    <row r="132" spans="2:23" s="1" customFormat="1" ht="13.5">
      <c r="B132" s="163"/>
      <c r="C132" s="293"/>
      <c r="D132" s="293"/>
      <c r="E132" s="294" t="s">
        <v>175</v>
      </c>
      <c r="F132" s="295" t="s">
        <v>179</v>
      </c>
      <c r="G132" s="296"/>
      <c r="H132" s="296"/>
      <c r="I132" s="296"/>
      <c r="J132" s="296"/>
      <c r="K132" s="346">
        <f>72.5*1.85+72.5*1.6</f>
        <v>250.125</v>
      </c>
      <c r="L132" s="96"/>
      <c r="M132" s="113"/>
      <c r="N132" s="247"/>
      <c r="O132" s="247"/>
      <c r="P132" s="247"/>
      <c r="Q132" s="247"/>
      <c r="R132" s="116"/>
      <c r="S132" s="148"/>
      <c r="T132" s="116"/>
      <c r="U132" s="148"/>
      <c r="V132" s="167"/>
      <c r="W132" s="79"/>
    </row>
    <row r="133" spans="2:23" s="1" customFormat="1" ht="13.5">
      <c r="B133" s="163"/>
      <c r="C133" s="293"/>
      <c r="D133" s="293"/>
      <c r="E133" s="294" t="s">
        <v>180</v>
      </c>
      <c r="F133" s="295" t="s">
        <v>218</v>
      </c>
      <c r="G133" s="296"/>
      <c r="H133" s="296"/>
      <c r="I133" s="296"/>
      <c r="J133" s="296"/>
      <c r="K133" s="297">
        <f>-2.9*(1.7-0.4)</f>
        <v>-3.7699999999999996</v>
      </c>
      <c r="L133" s="96"/>
      <c r="M133" s="113"/>
      <c r="N133" s="247"/>
      <c r="O133" s="247"/>
      <c r="P133" s="247"/>
      <c r="Q133" s="247"/>
      <c r="R133" s="116"/>
      <c r="S133" s="148"/>
      <c r="T133" s="116"/>
      <c r="U133" s="148"/>
      <c r="V133" s="167"/>
      <c r="W133" s="79"/>
    </row>
    <row r="134" spans="2:23" s="1" customFormat="1" ht="13.5">
      <c r="B134" s="163"/>
      <c r="C134" s="293"/>
      <c r="D134" s="293"/>
      <c r="E134" s="294" t="s">
        <v>181</v>
      </c>
      <c r="F134" s="295" t="s">
        <v>219</v>
      </c>
      <c r="G134" s="296"/>
      <c r="H134" s="296"/>
      <c r="I134" s="296"/>
      <c r="J134" s="296"/>
      <c r="K134" s="297">
        <f>-3.45*(1.8-0.4)</f>
        <v>-4.83</v>
      </c>
      <c r="L134" s="96"/>
      <c r="M134" s="113"/>
      <c r="N134" s="247"/>
      <c r="O134" s="247"/>
      <c r="P134" s="247"/>
      <c r="Q134" s="247"/>
      <c r="R134" s="116"/>
      <c r="S134" s="148"/>
      <c r="T134" s="116"/>
      <c r="U134" s="148"/>
      <c r="V134" s="167"/>
      <c r="W134" s="79"/>
    </row>
    <row r="135" spans="2:23" s="1" customFormat="1" ht="13.5">
      <c r="B135" s="163"/>
      <c r="C135" s="293"/>
      <c r="D135" s="293"/>
      <c r="E135" s="294" t="s">
        <v>177</v>
      </c>
      <c r="F135" s="295" t="s">
        <v>220</v>
      </c>
      <c r="G135" s="296"/>
      <c r="H135" s="296"/>
      <c r="I135" s="296"/>
      <c r="J135" s="296"/>
      <c r="K135" s="297">
        <f>-7.5*(1.75-0.4)</f>
        <v>-10.125</v>
      </c>
      <c r="L135" s="96"/>
      <c r="M135" s="113"/>
      <c r="N135" s="247"/>
      <c r="O135" s="247"/>
      <c r="P135" s="247"/>
      <c r="Q135" s="247"/>
      <c r="R135" s="116"/>
      <c r="S135" s="148"/>
      <c r="T135" s="116"/>
      <c r="U135" s="148"/>
      <c r="V135" s="167"/>
      <c r="W135" s="79"/>
    </row>
    <row r="136" spans="2:23" s="1" customFormat="1" ht="13.5">
      <c r="B136" s="163"/>
      <c r="C136" s="293"/>
      <c r="D136" s="293"/>
      <c r="E136" s="294" t="s">
        <v>178</v>
      </c>
      <c r="F136" s="295" t="s">
        <v>220</v>
      </c>
      <c r="G136" s="296"/>
      <c r="H136" s="296"/>
      <c r="I136" s="296"/>
      <c r="J136" s="296"/>
      <c r="K136" s="297">
        <f>-7.5*(1.75-0.4)</f>
        <v>-10.125</v>
      </c>
      <c r="L136" s="96"/>
      <c r="M136" s="113"/>
      <c r="N136" s="247"/>
      <c r="O136" s="247"/>
      <c r="P136" s="247"/>
      <c r="Q136" s="247"/>
      <c r="R136" s="116"/>
      <c r="S136" s="148"/>
      <c r="T136" s="116"/>
      <c r="U136" s="148"/>
      <c r="V136" s="167"/>
      <c r="W136" s="79"/>
    </row>
    <row r="137" spans="2:23" s="1" customFormat="1" ht="13.5">
      <c r="B137" s="163"/>
      <c r="C137" s="293"/>
      <c r="D137" s="293"/>
      <c r="E137" s="294" t="s">
        <v>182</v>
      </c>
      <c r="F137" s="295" t="s">
        <v>221</v>
      </c>
      <c r="G137" s="296"/>
      <c r="H137" s="296"/>
      <c r="I137" s="296"/>
      <c r="J137" s="296"/>
      <c r="K137" s="297">
        <f>-4*(2-0.4)</f>
        <v>-6.4</v>
      </c>
      <c r="L137" s="96"/>
      <c r="M137" s="113"/>
      <c r="N137" s="247"/>
      <c r="O137" s="247"/>
      <c r="P137" s="247"/>
      <c r="Q137" s="247"/>
      <c r="R137" s="116"/>
      <c r="S137" s="148"/>
      <c r="T137" s="116"/>
      <c r="U137" s="148"/>
      <c r="V137" s="167"/>
      <c r="W137" s="79"/>
    </row>
    <row r="138" spans="2:23" s="1" customFormat="1" ht="13.5">
      <c r="B138" s="163"/>
      <c r="C138" s="293"/>
      <c r="D138" s="293"/>
      <c r="E138" s="294" t="s">
        <v>183</v>
      </c>
      <c r="F138" s="295" t="s">
        <v>222</v>
      </c>
      <c r="G138" s="296"/>
      <c r="H138" s="296"/>
      <c r="I138" s="296"/>
      <c r="J138" s="296"/>
      <c r="K138" s="297">
        <f>-4.6*(2-0.4)</f>
        <v>-7.359999999999999</v>
      </c>
      <c r="L138" s="96"/>
      <c r="M138" s="113"/>
      <c r="N138" s="247"/>
      <c r="O138" s="247"/>
      <c r="P138" s="247"/>
      <c r="Q138" s="247"/>
      <c r="R138" s="116"/>
      <c r="S138" s="148"/>
      <c r="T138" s="116"/>
      <c r="U138" s="148"/>
      <c r="V138" s="167"/>
      <c r="W138" s="79"/>
    </row>
    <row r="139" spans="2:23" s="1" customFormat="1" ht="13.5">
      <c r="B139" s="163"/>
      <c r="C139" s="293"/>
      <c r="D139" s="293"/>
      <c r="E139" s="294" t="s">
        <v>180</v>
      </c>
      <c r="F139" s="295" t="s">
        <v>223</v>
      </c>
      <c r="G139" s="296"/>
      <c r="H139" s="296"/>
      <c r="I139" s="296"/>
      <c r="J139" s="296"/>
      <c r="K139" s="297">
        <f>-(1+2.9+1)*0.4</f>
        <v>-1.9600000000000002</v>
      </c>
      <c r="L139" s="96"/>
      <c r="M139" s="113"/>
      <c r="N139" s="247"/>
      <c r="O139" s="247"/>
      <c r="P139" s="247"/>
      <c r="Q139" s="247"/>
      <c r="R139" s="116"/>
      <c r="S139" s="148"/>
      <c r="T139" s="116"/>
      <c r="U139" s="148"/>
      <c r="V139" s="167"/>
      <c r="W139" s="79"/>
    </row>
    <row r="140" spans="2:23" s="1" customFormat="1" ht="13.5">
      <c r="B140" s="163"/>
      <c r="C140" s="293"/>
      <c r="D140" s="293"/>
      <c r="E140" s="294" t="s">
        <v>181</v>
      </c>
      <c r="F140" s="295" t="s">
        <v>224</v>
      </c>
      <c r="G140" s="296"/>
      <c r="H140" s="296"/>
      <c r="I140" s="296"/>
      <c r="J140" s="296"/>
      <c r="K140" s="297">
        <f>-(1+3.45+1)*0.4</f>
        <v>-2.18</v>
      </c>
      <c r="L140" s="96"/>
      <c r="M140" s="113"/>
      <c r="N140" s="247"/>
      <c r="O140" s="247"/>
      <c r="P140" s="247"/>
      <c r="Q140" s="247"/>
      <c r="R140" s="116"/>
      <c r="S140" s="148"/>
      <c r="T140" s="116"/>
      <c r="U140" s="148"/>
      <c r="V140" s="167"/>
      <c r="W140" s="79"/>
    </row>
    <row r="141" spans="2:23" s="1" customFormat="1" ht="13.5">
      <c r="B141" s="163"/>
      <c r="C141" s="293"/>
      <c r="D141" s="293"/>
      <c r="E141" s="294" t="s">
        <v>177</v>
      </c>
      <c r="F141" s="295" t="s">
        <v>225</v>
      </c>
      <c r="G141" s="296"/>
      <c r="H141" s="296"/>
      <c r="I141" s="296"/>
      <c r="J141" s="296"/>
      <c r="K141" s="297">
        <f>-(1+7.5+1)*0.4</f>
        <v>-3.8000000000000003</v>
      </c>
      <c r="L141" s="96"/>
      <c r="M141" s="113"/>
      <c r="N141" s="247"/>
      <c r="O141" s="247"/>
      <c r="P141" s="247"/>
      <c r="Q141" s="247"/>
      <c r="R141" s="116"/>
      <c r="S141" s="148"/>
      <c r="T141" s="116"/>
      <c r="U141" s="148"/>
      <c r="V141" s="167"/>
      <c r="W141" s="79"/>
    </row>
    <row r="142" spans="2:23" s="1" customFormat="1" ht="13.5">
      <c r="B142" s="163"/>
      <c r="C142" s="293"/>
      <c r="D142" s="293"/>
      <c r="E142" s="294" t="s">
        <v>178</v>
      </c>
      <c r="F142" s="295" t="s">
        <v>225</v>
      </c>
      <c r="G142" s="355"/>
      <c r="H142" s="296"/>
      <c r="I142" s="296"/>
      <c r="J142" s="296"/>
      <c r="K142" s="297">
        <f>-(1+7.5+1)*0.4</f>
        <v>-3.8000000000000003</v>
      </c>
      <c r="L142" s="96"/>
      <c r="M142" s="113"/>
      <c r="N142" s="247"/>
      <c r="O142" s="247"/>
      <c r="P142" s="247"/>
      <c r="Q142" s="247"/>
      <c r="R142" s="116"/>
      <c r="S142" s="148"/>
      <c r="T142" s="116"/>
      <c r="U142" s="148"/>
      <c r="V142" s="167"/>
      <c r="W142" s="79"/>
    </row>
    <row r="143" spans="2:23" s="1" customFormat="1" ht="13.5">
      <c r="B143" s="163"/>
      <c r="C143" s="293"/>
      <c r="D143" s="293"/>
      <c r="E143" s="294" t="s">
        <v>182</v>
      </c>
      <c r="F143" s="295" t="s">
        <v>226</v>
      </c>
      <c r="G143" s="296"/>
      <c r="H143" s="296"/>
      <c r="I143" s="296"/>
      <c r="J143" s="296"/>
      <c r="K143" s="297">
        <f>-(1+4+1)*0.4</f>
        <v>-2.4000000000000004</v>
      </c>
      <c r="L143" s="96"/>
      <c r="M143" s="113"/>
      <c r="N143" s="247"/>
      <c r="O143" s="247"/>
      <c r="P143" s="247"/>
      <c r="Q143" s="247"/>
      <c r="R143" s="116"/>
      <c r="S143" s="148"/>
      <c r="T143" s="116"/>
      <c r="U143" s="148"/>
      <c r="V143" s="167"/>
      <c r="W143" s="79"/>
    </row>
    <row r="144" spans="2:23" s="1" customFormat="1" ht="13.5">
      <c r="B144" s="163"/>
      <c r="C144" s="293"/>
      <c r="D144" s="293"/>
      <c r="E144" s="294" t="s">
        <v>183</v>
      </c>
      <c r="F144" s="295" t="s">
        <v>227</v>
      </c>
      <c r="G144" s="296"/>
      <c r="H144" s="296"/>
      <c r="I144" s="296"/>
      <c r="J144" s="296"/>
      <c r="K144" s="297">
        <f>-(1+4.6+1)*0.4</f>
        <v>-2.64</v>
      </c>
      <c r="L144" s="96"/>
      <c r="M144" s="113"/>
      <c r="N144" s="247"/>
      <c r="O144" s="247"/>
      <c r="P144" s="247"/>
      <c r="Q144" s="247"/>
      <c r="R144" s="116"/>
      <c r="S144" s="148"/>
      <c r="T144" s="116"/>
      <c r="U144" s="148"/>
      <c r="V144" s="167"/>
      <c r="W144" s="79"/>
    </row>
    <row r="145" spans="2:23" s="1" customFormat="1" ht="13.5">
      <c r="B145" s="163"/>
      <c r="C145" s="293"/>
      <c r="D145" s="293"/>
      <c r="E145" s="294" t="s">
        <v>185</v>
      </c>
      <c r="F145" s="295" t="s">
        <v>228</v>
      </c>
      <c r="G145" s="296"/>
      <c r="H145" s="296"/>
      <c r="I145" s="296"/>
      <c r="J145" s="296"/>
      <c r="K145" s="297">
        <f>-(1+3)*0.4</f>
        <v>-1.6</v>
      </c>
      <c r="L145" s="96"/>
      <c r="M145" s="113"/>
      <c r="N145" s="247"/>
      <c r="O145" s="247"/>
      <c r="P145" s="247"/>
      <c r="Q145" s="247"/>
      <c r="R145" s="116"/>
      <c r="S145" s="148"/>
      <c r="T145" s="116"/>
      <c r="U145" s="148"/>
      <c r="V145" s="167"/>
      <c r="W145" s="79"/>
    </row>
    <row r="146" spans="2:23" s="1" customFormat="1" ht="13.5">
      <c r="B146" s="163"/>
      <c r="C146" s="293"/>
      <c r="D146" s="293"/>
      <c r="E146" s="298"/>
      <c r="F146" s="299"/>
      <c r="G146" s="300"/>
      <c r="H146" s="300"/>
      <c r="I146" s="300"/>
      <c r="J146" s="301"/>
      <c r="K146" s="338">
        <f>SUM(K132:K145)</f>
        <v>189.13499999999996</v>
      </c>
      <c r="L146" s="96"/>
      <c r="M146" s="113"/>
      <c r="N146" s="144"/>
      <c r="O146" s="144"/>
      <c r="P146" s="144"/>
      <c r="Q146" s="144"/>
      <c r="R146" s="116"/>
      <c r="S146" s="148"/>
      <c r="T146" s="116"/>
      <c r="U146" s="148"/>
      <c r="V146" s="167"/>
      <c r="W146" s="79"/>
    </row>
    <row r="147" spans="2:59" s="1" customFormat="1" ht="26.25" customHeight="1">
      <c r="B147" s="163"/>
      <c r="C147" s="106">
        <v>11</v>
      </c>
      <c r="D147" s="106" t="s">
        <v>125</v>
      </c>
      <c r="E147" s="107"/>
      <c r="F147" s="457" t="s">
        <v>193</v>
      </c>
      <c r="G147" s="458"/>
      <c r="H147" s="458"/>
      <c r="I147" s="458"/>
      <c r="J147" s="108" t="s">
        <v>100</v>
      </c>
      <c r="K147" s="335">
        <f>K164</f>
        <v>199</v>
      </c>
      <c r="L147" s="459"/>
      <c r="M147" s="459"/>
      <c r="N147" s="460">
        <f>ROUND(L147*K147,2)</f>
        <v>0</v>
      </c>
      <c r="O147" s="461"/>
      <c r="P147" s="461"/>
      <c r="Q147" s="461"/>
      <c r="R147" s="97">
        <v>0.126</v>
      </c>
      <c r="S147" s="150">
        <f>R147*K147</f>
        <v>25.074</v>
      </c>
      <c r="T147" s="97">
        <v>0</v>
      </c>
      <c r="U147" s="150">
        <f>T147*K147</f>
        <v>0</v>
      </c>
      <c r="V147" s="122"/>
      <c r="AL147" s="8" t="s">
        <v>126</v>
      </c>
      <c r="AN147" s="8" t="s">
        <v>125</v>
      </c>
      <c r="AO147" s="8" t="s">
        <v>76</v>
      </c>
      <c r="AS147" s="8" t="s">
        <v>96</v>
      </c>
      <c r="AY147" s="78" t="e">
        <f>IF(#REF!="základní",N147,0)</f>
        <v>#REF!</v>
      </c>
      <c r="AZ147" s="78" t="e">
        <f>IF(#REF!="snížená",N147,0)</f>
        <v>#REF!</v>
      </c>
      <c r="BA147" s="78" t="e">
        <f>IF(#REF!="zákl. přenesená",N147,0)</f>
        <v>#REF!</v>
      </c>
      <c r="BB147" s="78" t="e">
        <f>IF(#REF!="sníž. přenesená",N147,0)</f>
        <v>#REF!</v>
      </c>
      <c r="BC147" s="78" t="e">
        <f>IF(#REF!="nulová",N147,0)</f>
        <v>#REF!</v>
      </c>
      <c r="BD147" s="8" t="s">
        <v>14</v>
      </c>
      <c r="BE147" s="78">
        <f>ROUND(L147*K147,2)</f>
        <v>0</v>
      </c>
      <c r="BF147" s="8" t="s">
        <v>101</v>
      </c>
      <c r="BG147" s="8" t="s">
        <v>127</v>
      </c>
    </row>
    <row r="148" spans="2:23" s="1" customFormat="1" ht="13.5">
      <c r="B148" s="163"/>
      <c r="C148" s="293"/>
      <c r="D148" s="293"/>
      <c r="E148" s="294" t="s">
        <v>175</v>
      </c>
      <c r="F148" s="295" t="s">
        <v>179</v>
      </c>
      <c r="G148" s="296"/>
      <c r="H148" s="296"/>
      <c r="I148" s="296"/>
      <c r="J148" s="296"/>
      <c r="K148" s="346">
        <f>72.5*1.85+72.5*1.6</f>
        <v>250.125</v>
      </c>
      <c r="L148" s="96"/>
      <c r="M148" s="113"/>
      <c r="N148" s="144"/>
      <c r="O148" s="144"/>
      <c r="P148" s="144"/>
      <c r="Q148" s="144"/>
      <c r="R148" s="116"/>
      <c r="S148" s="148"/>
      <c r="T148" s="116"/>
      <c r="U148" s="148"/>
      <c r="V148" s="167"/>
      <c r="W148" s="79"/>
    </row>
    <row r="149" spans="2:23" s="1" customFormat="1" ht="13.5">
      <c r="B149" s="163"/>
      <c r="C149" s="293"/>
      <c r="D149" s="293"/>
      <c r="E149" s="294" t="s">
        <v>180</v>
      </c>
      <c r="F149" s="295" t="s">
        <v>218</v>
      </c>
      <c r="G149" s="296"/>
      <c r="H149" s="296"/>
      <c r="I149" s="296"/>
      <c r="J149" s="296"/>
      <c r="K149" s="297">
        <f>-2.9*(1.7-0.4)</f>
        <v>-3.7699999999999996</v>
      </c>
      <c r="L149" s="96"/>
      <c r="M149" s="113"/>
      <c r="N149" s="247"/>
      <c r="O149" s="247"/>
      <c r="P149" s="247"/>
      <c r="Q149" s="247"/>
      <c r="R149" s="116"/>
      <c r="S149" s="148"/>
      <c r="T149" s="116"/>
      <c r="U149" s="148"/>
      <c r="V149" s="167"/>
      <c r="W149" s="79"/>
    </row>
    <row r="150" spans="2:23" s="1" customFormat="1" ht="13.5">
      <c r="B150" s="163"/>
      <c r="C150" s="293"/>
      <c r="D150" s="293"/>
      <c r="E150" s="294" t="s">
        <v>181</v>
      </c>
      <c r="F150" s="295" t="s">
        <v>219</v>
      </c>
      <c r="G150" s="296"/>
      <c r="H150" s="296"/>
      <c r="I150" s="296"/>
      <c r="J150" s="296"/>
      <c r="K150" s="297">
        <f>-3.45*(1.8-0.4)</f>
        <v>-4.83</v>
      </c>
      <c r="L150" s="96"/>
      <c r="M150" s="113"/>
      <c r="N150" s="247"/>
      <c r="O150" s="247"/>
      <c r="P150" s="247"/>
      <c r="Q150" s="247"/>
      <c r="R150" s="116"/>
      <c r="S150" s="148"/>
      <c r="T150" s="116"/>
      <c r="U150" s="148"/>
      <c r="V150" s="167"/>
      <c r="W150" s="79"/>
    </row>
    <row r="151" spans="2:23" s="1" customFormat="1" ht="13.5">
      <c r="B151" s="163"/>
      <c r="C151" s="293"/>
      <c r="D151" s="293"/>
      <c r="E151" s="294" t="s">
        <v>177</v>
      </c>
      <c r="F151" s="295" t="s">
        <v>220</v>
      </c>
      <c r="G151" s="296"/>
      <c r="H151" s="296"/>
      <c r="I151" s="296"/>
      <c r="J151" s="296"/>
      <c r="K151" s="297">
        <f>-7.5*(1.75-0.4)</f>
        <v>-10.125</v>
      </c>
      <c r="L151" s="96"/>
      <c r="M151" s="113"/>
      <c r="N151" s="247"/>
      <c r="O151" s="247"/>
      <c r="P151" s="247"/>
      <c r="Q151" s="247"/>
      <c r="R151" s="116"/>
      <c r="S151" s="148"/>
      <c r="T151" s="116"/>
      <c r="U151" s="148"/>
      <c r="V151" s="167"/>
      <c r="W151" s="79"/>
    </row>
    <row r="152" spans="2:23" s="1" customFormat="1" ht="13.5">
      <c r="B152" s="163"/>
      <c r="C152" s="293"/>
      <c r="D152" s="293"/>
      <c r="E152" s="294" t="s">
        <v>178</v>
      </c>
      <c r="F152" s="295" t="s">
        <v>220</v>
      </c>
      <c r="G152" s="296"/>
      <c r="H152" s="296"/>
      <c r="I152" s="296"/>
      <c r="J152" s="296"/>
      <c r="K152" s="297">
        <f>-7.5*(1.75-0.4)</f>
        <v>-10.125</v>
      </c>
      <c r="L152" s="96"/>
      <c r="M152" s="113"/>
      <c r="N152" s="247"/>
      <c r="O152" s="247"/>
      <c r="P152" s="247"/>
      <c r="Q152" s="247"/>
      <c r="R152" s="116"/>
      <c r="S152" s="148"/>
      <c r="T152" s="116"/>
      <c r="U152" s="148"/>
      <c r="V152" s="167"/>
      <c r="W152" s="79"/>
    </row>
    <row r="153" spans="2:23" s="1" customFormat="1" ht="13.5">
      <c r="B153" s="163"/>
      <c r="C153" s="293"/>
      <c r="D153" s="293"/>
      <c r="E153" s="294" t="s">
        <v>182</v>
      </c>
      <c r="F153" s="295" t="s">
        <v>221</v>
      </c>
      <c r="G153" s="296"/>
      <c r="H153" s="296"/>
      <c r="I153" s="296"/>
      <c r="J153" s="296"/>
      <c r="K153" s="297">
        <f>-4*(2-0.4)</f>
        <v>-6.4</v>
      </c>
      <c r="L153" s="96"/>
      <c r="M153" s="113"/>
      <c r="N153" s="247"/>
      <c r="O153" s="247"/>
      <c r="P153" s="247"/>
      <c r="Q153" s="247"/>
      <c r="R153" s="116"/>
      <c r="S153" s="148"/>
      <c r="T153" s="116"/>
      <c r="U153" s="148"/>
      <c r="V153" s="167"/>
      <c r="W153" s="79"/>
    </row>
    <row r="154" spans="2:23" s="1" customFormat="1" ht="13.5">
      <c r="B154" s="163"/>
      <c r="C154" s="293"/>
      <c r="D154" s="293"/>
      <c r="E154" s="294" t="s">
        <v>183</v>
      </c>
      <c r="F154" s="295" t="s">
        <v>222</v>
      </c>
      <c r="G154" s="296"/>
      <c r="H154" s="296"/>
      <c r="I154" s="296"/>
      <c r="J154" s="296"/>
      <c r="K154" s="297">
        <f>-4.6*(2-0.4)</f>
        <v>-7.359999999999999</v>
      </c>
      <c r="L154" s="96"/>
      <c r="M154" s="113"/>
      <c r="N154" s="247"/>
      <c r="O154" s="247"/>
      <c r="P154" s="247"/>
      <c r="Q154" s="247"/>
      <c r="R154" s="116"/>
      <c r="S154" s="148"/>
      <c r="T154" s="116"/>
      <c r="U154" s="148"/>
      <c r="V154" s="167"/>
      <c r="W154" s="79"/>
    </row>
    <row r="155" spans="2:23" s="1" customFormat="1" ht="13.5">
      <c r="B155" s="163"/>
      <c r="C155" s="293"/>
      <c r="D155" s="293"/>
      <c r="E155" s="294" t="s">
        <v>180</v>
      </c>
      <c r="F155" s="295" t="s">
        <v>223</v>
      </c>
      <c r="G155" s="296"/>
      <c r="H155" s="296"/>
      <c r="I155" s="296"/>
      <c r="J155" s="296"/>
      <c r="K155" s="297">
        <f>-(1+2.9+1)*0.4</f>
        <v>-1.9600000000000002</v>
      </c>
      <c r="L155" s="96"/>
      <c r="M155" s="113"/>
      <c r="N155" s="247"/>
      <c r="O155" s="247"/>
      <c r="P155" s="247"/>
      <c r="Q155" s="247"/>
      <c r="R155" s="116"/>
      <c r="S155" s="148"/>
      <c r="T155" s="116"/>
      <c r="U155" s="148"/>
      <c r="V155" s="167"/>
      <c r="W155" s="79"/>
    </row>
    <row r="156" spans="2:23" s="1" customFormat="1" ht="13.5">
      <c r="B156" s="163"/>
      <c r="C156" s="293"/>
      <c r="D156" s="293"/>
      <c r="E156" s="294" t="s">
        <v>181</v>
      </c>
      <c r="F156" s="295" t="s">
        <v>224</v>
      </c>
      <c r="G156" s="296"/>
      <c r="H156" s="296"/>
      <c r="I156" s="296"/>
      <c r="J156" s="296"/>
      <c r="K156" s="297">
        <f>-(1+3.45+1)*0.4</f>
        <v>-2.18</v>
      </c>
      <c r="L156" s="96"/>
      <c r="M156" s="113"/>
      <c r="N156" s="247"/>
      <c r="O156" s="247"/>
      <c r="P156" s="247"/>
      <c r="Q156" s="247"/>
      <c r="R156" s="116"/>
      <c r="S156" s="148"/>
      <c r="T156" s="116"/>
      <c r="U156" s="148"/>
      <c r="V156" s="167"/>
      <c r="W156" s="79"/>
    </row>
    <row r="157" spans="2:23" s="1" customFormat="1" ht="13.5">
      <c r="B157" s="163"/>
      <c r="C157" s="293"/>
      <c r="D157" s="293"/>
      <c r="E157" s="294" t="s">
        <v>177</v>
      </c>
      <c r="F157" s="295" t="s">
        <v>225</v>
      </c>
      <c r="G157" s="296"/>
      <c r="H157" s="296"/>
      <c r="I157" s="296"/>
      <c r="J157" s="296"/>
      <c r="K157" s="297">
        <f>-(1+7.5+1)*0.4</f>
        <v>-3.8000000000000003</v>
      </c>
      <c r="L157" s="96"/>
      <c r="M157" s="113"/>
      <c r="N157" s="247"/>
      <c r="O157" s="247"/>
      <c r="P157" s="247"/>
      <c r="Q157" s="247"/>
      <c r="R157" s="116"/>
      <c r="S157" s="148"/>
      <c r="T157" s="116"/>
      <c r="U157" s="148"/>
      <c r="V157" s="167"/>
      <c r="W157" s="79"/>
    </row>
    <row r="158" spans="2:23" s="1" customFormat="1" ht="13.5">
      <c r="B158" s="163"/>
      <c r="C158" s="293"/>
      <c r="D158" s="293"/>
      <c r="E158" s="294" t="s">
        <v>178</v>
      </c>
      <c r="F158" s="295" t="s">
        <v>225</v>
      </c>
      <c r="G158" s="355"/>
      <c r="H158" s="296"/>
      <c r="I158" s="296"/>
      <c r="J158" s="296"/>
      <c r="K158" s="297">
        <f>-(1+7.5+1)*0.4</f>
        <v>-3.8000000000000003</v>
      </c>
      <c r="L158" s="96"/>
      <c r="M158" s="113"/>
      <c r="N158" s="247"/>
      <c r="O158" s="247"/>
      <c r="P158" s="247"/>
      <c r="Q158" s="247"/>
      <c r="R158" s="116"/>
      <c r="S158" s="148"/>
      <c r="T158" s="116"/>
      <c r="U158" s="148"/>
      <c r="V158" s="167"/>
      <c r="W158" s="79"/>
    </row>
    <row r="159" spans="2:23" s="1" customFormat="1" ht="13.5">
      <c r="B159" s="163"/>
      <c r="C159" s="293"/>
      <c r="D159" s="293"/>
      <c r="E159" s="294" t="s">
        <v>182</v>
      </c>
      <c r="F159" s="295" t="s">
        <v>226</v>
      </c>
      <c r="G159" s="296"/>
      <c r="H159" s="296"/>
      <c r="I159" s="296"/>
      <c r="J159" s="296"/>
      <c r="K159" s="297">
        <f>-(1+4+1)*0.4</f>
        <v>-2.4000000000000004</v>
      </c>
      <c r="L159" s="96"/>
      <c r="M159" s="113"/>
      <c r="N159" s="247"/>
      <c r="O159" s="247"/>
      <c r="P159" s="247"/>
      <c r="Q159" s="247"/>
      <c r="R159" s="116"/>
      <c r="S159" s="148"/>
      <c r="T159" s="116"/>
      <c r="U159" s="148"/>
      <c r="V159" s="167"/>
      <c r="W159" s="79"/>
    </row>
    <row r="160" spans="2:23" s="1" customFormat="1" ht="13.5">
      <c r="B160" s="163"/>
      <c r="C160" s="293"/>
      <c r="D160" s="293"/>
      <c r="E160" s="294" t="s">
        <v>183</v>
      </c>
      <c r="F160" s="295" t="s">
        <v>227</v>
      </c>
      <c r="G160" s="296"/>
      <c r="H160" s="296"/>
      <c r="I160" s="296"/>
      <c r="J160" s="296"/>
      <c r="K160" s="297">
        <f>-(1+4.6+1)*0.4</f>
        <v>-2.64</v>
      </c>
      <c r="L160" s="96"/>
      <c r="M160" s="113"/>
      <c r="N160" s="247"/>
      <c r="O160" s="247"/>
      <c r="P160" s="247"/>
      <c r="Q160" s="247"/>
      <c r="R160" s="116"/>
      <c r="S160" s="148"/>
      <c r="T160" s="116"/>
      <c r="U160" s="148"/>
      <c r="V160" s="167"/>
      <c r="W160" s="79"/>
    </row>
    <row r="161" spans="2:23" s="1" customFormat="1" ht="13.5">
      <c r="B161" s="163"/>
      <c r="C161" s="293"/>
      <c r="D161" s="293"/>
      <c r="E161" s="294" t="s">
        <v>185</v>
      </c>
      <c r="F161" s="295" t="s">
        <v>228</v>
      </c>
      <c r="G161" s="296"/>
      <c r="H161" s="296"/>
      <c r="I161" s="296"/>
      <c r="J161" s="296"/>
      <c r="K161" s="297">
        <f>-(1+3)*0.4</f>
        <v>-1.6</v>
      </c>
      <c r="L161" s="96"/>
      <c r="M161" s="113"/>
      <c r="N161" s="247"/>
      <c r="O161" s="247"/>
      <c r="P161" s="247"/>
      <c r="Q161" s="247"/>
      <c r="R161" s="116"/>
      <c r="S161" s="148"/>
      <c r="T161" s="116"/>
      <c r="U161" s="148"/>
      <c r="V161" s="167"/>
      <c r="W161" s="79"/>
    </row>
    <row r="162" spans="2:23" s="1" customFormat="1" ht="13.5">
      <c r="B162" s="163"/>
      <c r="C162" s="293"/>
      <c r="D162" s="293"/>
      <c r="E162" s="298"/>
      <c r="F162" s="299"/>
      <c r="G162" s="300"/>
      <c r="H162" s="300"/>
      <c r="I162" s="300"/>
      <c r="J162" s="301"/>
      <c r="K162" s="338">
        <f>SUM(K148:K161)</f>
        <v>189.13499999999996</v>
      </c>
      <c r="L162" s="96"/>
      <c r="M162" s="113"/>
      <c r="N162" s="144"/>
      <c r="O162" s="144"/>
      <c r="P162" s="144"/>
      <c r="Q162" s="144"/>
      <c r="R162" s="116"/>
      <c r="S162" s="148"/>
      <c r="T162" s="116"/>
      <c r="U162" s="148"/>
      <c r="V162" s="167"/>
      <c r="W162" s="79"/>
    </row>
    <row r="163" spans="2:23" s="103" customFormat="1" ht="7.5">
      <c r="B163" s="168"/>
      <c r="C163" s="302"/>
      <c r="D163" s="302"/>
      <c r="E163" s="303"/>
      <c r="F163" s="304"/>
      <c r="G163" s="305"/>
      <c r="H163" s="305"/>
      <c r="I163" s="305"/>
      <c r="J163" s="306"/>
      <c r="K163" s="339"/>
      <c r="L163" s="169"/>
      <c r="M163" s="170"/>
      <c r="N163" s="171"/>
      <c r="O163" s="171"/>
      <c r="P163" s="171"/>
      <c r="Q163" s="171"/>
      <c r="R163" s="153"/>
      <c r="S163" s="151"/>
      <c r="T163" s="153"/>
      <c r="U163" s="151"/>
      <c r="V163" s="172"/>
      <c r="W163" s="104"/>
    </row>
    <row r="164" spans="2:23" s="1" customFormat="1" ht="13.5">
      <c r="B164" s="163"/>
      <c r="C164" s="293"/>
      <c r="D164" s="293"/>
      <c r="E164" s="307" t="s">
        <v>186</v>
      </c>
      <c r="F164" s="308">
        <v>0.05</v>
      </c>
      <c r="G164" s="309"/>
      <c r="H164" s="309"/>
      <c r="I164" s="309"/>
      <c r="J164" s="310"/>
      <c r="K164" s="340">
        <f>ROUNDUP(K162*1.05,0)</f>
        <v>199</v>
      </c>
      <c r="L164" s="96"/>
      <c r="M164" s="113"/>
      <c r="N164" s="144"/>
      <c r="O164" s="144"/>
      <c r="P164" s="144"/>
      <c r="Q164" s="144"/>
      <c r="R164" s="116"/>
      <c r="S164" s="148"/>
      <c r="T164" s="116"/>
      <c r="U164" s="148"/>
      <c r="V164" s="167"/>
      <c r="W164" s="79"/>
    </row>
    <row r="165" spans="2:59" s="1" customFormat="1" ht="26.25" customHeight="1">
      <c r="B165" s="163"/>
      <c r="C165" s="109">
        <v>12</v>
      </c>
      <c r="D165" s="109" t="s">
        <v>97</v>
      </c>
      <c r="E165" s="110" t="s">
        <v>128</v>
      </c>
      <c r="F165" s="435" t="s">
        <v>129</v>
      </c>
      <c r="G165" s="436"/>
      <c r="H165" s="436"/>
      <c r="I165" s="436"/>
      <c r="J165" s="111" t="s">
        <v>100</v>
      </c>
      <c r="K165" s="336">
        <f>K179</f>
        <v>60.989999999999995</v>
      </c>
      <c r="L165" s="430"/>
      <c r="M165" s="431"/>
      <c r="N165" s="432">
        <f>ROUND(L165*K165,2)</f>
        <v>0</v>
      </c>
      <c r="O165" s="432"/>
      <c r="P165" s="432"/>
      <c r="Q165" s="432"/>
      <c r="R165" s="87">
        <v>0.08565</v>
      </c>
      <c r="S165" s="133">
        <f>R165*K165</f>
        <v>5.2237935</v>
      </c>
      <c r="T165" s="87">
        <v>0</v>
      </c>
      <c r="U165" s="133">
        <f>T165*K165</f>
        <v>0</v>
      </c>
      <c r="V165" s="122"/>
      <c r="AL165" s="8" t="s">
        <v>101</v>
      </c>
      <c r="AN165" s="8" t="s">
        <v>97</v>
      </c>
      <c r="AO165" s="8" t="s">
        <v>76</v>
      </c>
      <c r="AS165" s="8" t="s">
        <v>96</v>
      </c>
      <c r="AY165" s="78" t="e">
        <f>IF(#REF!="základní",N165,0)</f>
        <v>#REF!</v>
      </c>
      <c r="AZ165" s="78" t="e">
        <f>IF(#REF!="snížená",N165,0)</f>
        <v>#REF!</v>
      </c>
      <c r="BA165" s="78" t="e">
        <f>IF(#REF!="zákl. přenesená",N165,0)</f>
        <v>#REF!</v>
      </c>
      <c r="BB165" s="78" t="e">
        <f>IF(#REF!="sníž. přenesená",N165,0)</f>
        <v>#REF!</v>
      </c>
      <c r="BC165" s="78" t="e">
        <f>IF(#REF!="nulová",N165,0)</f>
        <v>#REF!</v>
      </c>
      <c r="BD165" s="8" t="s">
        <v>14</v>
      </c>
      <c r="BE165" s="78">
        <f>ROUND(L165*K165,2)</f>
        <v>0</v>
      </c>
      <c r="BF165" s="8" t="s">
        <v>101</v>
      </c>
      <c r="BG165" s="8" t="s">
        <v>130</v>
      </c>
    </row>
    <row r="166" spans="2:23" s="1" customFormat="1" ht="13.5">
      <c r="B166" s="163"/>
      <c r="C166" s="293"/>
      <c r="D166" s="293"/>
      <c r="E166" s="294" t="s">
        <v>180</v>
      </c>
      <c r="F166" s="295" t="s">
        <v>188</v>
      </c>
      <c r="G166" s="296"/>
      <c r="H166" s="296"/>
      <c r="I166" s="296"/>
      <c r="J166" s="296"/>
      <c r="K166" s="297">
        <f>2.9*(1.7-0.4)</f>
        <v>3.7699999999999996</v>
      </c>
      <c r="L166" s="96"/>
      <c r="M166" s="113"/>
      <c r="N166" s="247"/>
      <c r="O166" s="247"/>
      <c r="P166" s="247"/>
      <c r="Q166" s="247"/>
      <c r="R166" s="116"/>
      <c r="S166" s="148"/>
      <c r="T166" s="116"/>
      <c r="U166" s="148"/>
      <c r="V166" s="167"/>
      <c r="W166" s="79"/>
    </row>
    <row r="167" spans="2:23" s="1" customFormat="1" ht="13.5">
      <c r="B167" s="163"/>
      <c r="C167" s="293"/>
      <c r="D167" s="293"/>
      <c r="E167" s="294" t="s">
        <v>181</v>
      </c>
      <c r="F167" s="295" t="s">
        <v>189</v>
      </c>
      <c r="G167" s="296"/>
      <c r="H167" s="296"/>
      <c r="I167" s="296"/>
      <c r="J167" s="296"/>
      <c r="K167" s="297">
        <f>3.45*(1.8-0.4)</f>
        <v>4.83</v>
      </c>
      <c r="L167" s="96"/>
      <c r="M167" s="113"/>
      <c r="N167" s="247"/>
      <c r="O167" s="247"/>
      <c r="P167" s="247"/>
      <c r="Q167" s="247"/>
      <c r="R167" s="116"/>
      <c r="S167" s="148"/>
      <c r="T167" s="116"/>
      <c r="U167" s="148"/>
      <c r="V167" s="167"/>
      <c r="W167" s="79"/>
    </row>
    <row r="168" spans="2:23" s="1" customFormat="1" ht="13.5">
      <c r="B168" s="163"/>
      <c r="C168" s="293"/>
      <c r="D168" s="293"/>
      <c r="E168" s="294" t="s">
        <v>177</v>
      </c>
      <c r="F168" s="295" t="s">
        <v>190</v>
      </c>
      <c r="G168" s="296"/>
      <c r="H168" s="296"/>
      <c r="I168" s="296"/>
      <c r="J168" s="296"/>
      <c r="K168" s="297">
        <f>7.5*(1.75-0.4)</f>
        <v>10.125</v>
      </c>
      <c r="L168" s="96"/>
      <c r="M168" s="113"/>
      <c r="N168" s="247"/>
      <c r="O168" s="247"/>
      <c r="P168" s="247"/>
      <c r="Q168" s="247"/>
      <c r="R168" s="116"/>
      <c r="S168" s="148"/>
      <c r="T168" s="116"/>
      <c r="U168" s="148"/>
      <c r="V168" s="167"/>
      <c r="W168" s="79"/>
    </row>
    <row r="169" spans="2:23" s="1" customFormat="1" ht="13.5">
      <c r="B169" s="163"/>
      <c r="C169" s="293"/>
      <c r="D169" s="293"/>
      <c r="E169" s="294" t="s">
        <v>178</v>
      </c>
      <c r="F169" s="295" t="s">
        <v>190</v>
      </c>
      <c r="G169" s="296"/>
      <c r="H169" s="296"/>
      <c r="I169" s="296"/>
      <c r="J169" s="296"/>
      <c r="K169" s="297">
        <f>7.5*(1.75-0.4)</f>
        <v>10.125</v>
      </c>
      <c r="L169" s="96"/>
      <c r="M169" s="113"/>
      <c r="N169" s="247"/>
      <c r="O169" s="247"/>
      <c r="P169" s="247"/>
      <c r="Q169" s="247"/>
      <c r="R169" s="116"/>
      <c r="S169" s="148"/>
      <c r="T169" s="116"/>
      <c r="U169" s="148"/>
      <c r="V169" s="167"/>
      <c r="W169" s="79"/>
    </row>
    <row r="170" spans="2:23" s="1" customFormat="1" ht="13.5">
      <c r="B170" s="163"/>
      <c r="C170" s="293"/>
      <c r="D170" s="293"/>
      <c r="E170" s="294" t="s">
        <v>182</v>
      </c>
      <c r="F170" s="295" t="s">
        <v>191</v>
      </c>
      <c r="G170" s="296"/>
      <c r="H170" s="296"/>
      <c r="I170" s="296"/>
      <c r="J170" s="296"/>
      <c r="K170" s="297">
        <f>4*(2-0.4)</f>
        <v>6.4</v>
      </c>
      <c r="L170" s="96"/>
      <c r="M170" s="113"/>
      <c r="N170" s="247"/>
      <c r="O170" s="247"/>
      <c r="P170" s="247"/>
      <c r="Q170" s="247"/>
      <c r="R170" s="116"/>
      <c r="S170" s="148"/>
      <c r="T170" s="116"/>
      <c r="U170" s="148"/>
      <c r="V170" s="167"/>
      <c r="W170" s="79"/>
    </row>
    <row r="171" spans="2:23" s="1" customFormat="1" ht="13.5">
      <c r="B171" s="163"/>
      <c r="C171" s="293"/>
      <c r="D171" s="293"/>
      <c r="E171" s="294" t="s">
        <v>183</v>
      </c>
      <c r="F171" s="295" t="s">
        <v>192</v>
      </c>
      <c r="G171" s="296"/>
      <c r="H171" s="296"/>
      <c r="I171" s="296"/>
      <c r="J171" s="296"/>
      <c r="K171" s="297">
        <f>4.6*(2-0.4)</f>
        <v>7.359999999999999</v>
      </c>
      <c r="L171" s="96"/>
      <c r="M171" s="113"/>
      <c r="N171" s="247"/>
      <c r="O171" s="247"/>
      <c r="P171" s="247"/>
      <c r="Q171" s="247"/>
      <c r="R171" s="116"/>
      <c r="S171" s="148"/>
      <c r="T171" s="116"/>
      <c r="U171" s="148"/>
      <c r="V171" s="167"/>
      <c r="W171" s="79"/>
    </row>
    <row r="172" spans="2:23" s="1" customFormat="1" ht="13.5">
      <c r="B172" s="163"/>
      <c r="C172" s="293"/>
      <c r="D172" s="293"/>
      <c r="E172" s="294" t="s">
        <v>180</v>
      </c>
      <c r="F172" s="295" t="s">
        <v>212</v>
      </c>
      <c r="G172" s="296"/>
      <c r="H172" s="296"/>
      <c r="I172" s="296"/>
      <c r="J172" s="296"/>
      <c r="K172" s="297">
        <f>(1+2.9+1)*0.4</f>
        <v>1.9600000000000002</v>
      </c>
      <c r="L172" s="96"/>
      <c r="M172" s="113"/>
      <c r="N172" s="247"/>
      <c r="O172" s="247"/>
      <c r="P172" s="247"/>
      <c r="Q172" s="247"/>
      <c r="R172" s="116"/>
      <c r="S172" s="148"/>
      <c r="T172" s="116"/>
      <c r="U172" s="148"/>
      <c r="V172" s="167"/>
      <c r="W172" s="79"/>
    </row>
    <row r="173" spans="2:23" s="1" customFormat="1" ht="13.5">
      <c r="B173" s="163"/>
      <c r="C173" s="293"/>
      <c r="D173" s="293"/>
      <c r="E173" s="294" t="s">
        <v>181</v>
      </c>
      <c r="F173" s="295" t="s">
        <v>213</v>
      </c>
      <c r="G173" s="296"/>
      <c r="H173" s="296"/>
      <c r="I173" s="296"/>
      <c r="J173" s="296"/>
      <c r="K173" s="297">
        <f>(1+3.45+1)*0.4</f>
        <v>2.18</v>
      </c>
      <c r="L173" s="96"/>
      <c r="M173" s="113"/>
      <c r="N173" s="247"/>
      <c r="O173" s="247"/>
      <c r="P173" s="247"/>
      <c r="Q173" s="247"/>
      <c r="R173" s="116"/>
      <c r="S173" s="148"/>
      <c r="T173" s="116"/>
      <c r="U173" s="148"/>
      <c r="V173" s="167"/>
      <c r="W173" s="79"/>
    </row>
    <row r="174" spans="2:23" s="1" customFormat="1" ht="13.5">
      <c r="B174" s="163"/>
      <c r="C174" s="293"/>
      <c r="D174" s="293"/>
      <c r="E174" s="294" t="s">
        <v>177</v>
      </c>
      <c r="F174" s="295" t="s">
        <v>214</v>
      </c>
      <c r="G174" s="296"/>
      <c r="H174" s="296"/>
      <c r="I174" s="296"/>
      <c r="J174" s="296"/>
      <c r="K174" s="297">
        <f>(1+7.5+1)*0.4</f>
        <v>3.8000000000000003</v>
      </c>
      <c r="L174" s="96"/>
      <c r="M174" s="113"/>
      <c r="N174" s="247"/>
      <c r="O174" s="247"/>
      <c r="P174" s="247"/>
      <c r="Q174" s="247"/>
      <c r="R174" s="116"/>
      <c r="S174" s="148"/>
      <c r="T174" s="116"/>
      <c r="U174" s="148"/>
      <c r="V174" s="167"/>
      <c r="W174" s="79"/>
    </row>
    <row r="175" spans="2:23" s="1" customFormat="1" ht="13.5">
      <c r="B175" s="163"/>
      <c r="C175" s="293"/>
      <c r="D175" s="293"/>
      <c r="E175" s="294" t="s">
        <v>178</v>
      </c>
      <c r="F175" s="295" t="s">
        <v>214</v>
      </c>
      <c r="G175" s="355"/>
      <c r="H175" s="296"/>
      <c r="I175" s="296"/>
      <c r="J175" s="296"/>
      <c r="K175" s="297">
        <f>(1+7.5+1)*0.4</f>
        <v>3.8000000000000003</v>
      </c>
      <c r="L175" s="96"/>
      <c r="M175" s="113"/>
      <c r="N175" s="247"/>
      <c r="O175" s="247"/>
      <c r="P175" s="247"/>
      <c r="Q175" s="247"/>
      <c r="R175" s="116"/>
      <c r="S175" s="148"/>
      <c r="T175" s="116"/>
      <c r="U175" s="148"/>
      <c r="V175" s="167"/>
      <c r="W175" s="79"/>
    </row>
    <row r="176" spans="2:23" s="1" customFormat="1" ht="13.5">
      <c r="B176" s="163"/>
      <c r="C176" s="293"/>
      <c r="D176" s="293"/>
      <c r="E176" s="294" t="s">
        <v>182</v>
      </c>
      <c r="F176" s="295" t="s">
        <v>215</v>
      </c>
      <c r="G176" s="296"/>
      <c r="H176" s="296"/>
      <c r="I176" s="296"/>
      <c r="J176" s="296"/>
      <c r="K176" s="297">
        <f>(1+4+1)*0.4</f>
        <v>2.4000000000000004</v>
      </c>
      <c r="L176" s="96"/>
      <c r="M176" s="113"/>
      <c r="N176" s="247"/>
      <c r="O176" s="247"/>
      <c r="P176" s="247"/>
      <c r="Q176" s="247"/>
      <c r="R176" s="116"/>
      <c r="S176" s="148"/>
      <c r="T176" s="116"/>
      <c r="U176" s="148"/>
      <c r="V176" s="167"/>
      <c r="W176" s="79"/>
    </row>
    <row r="177" spans="2:23" s="1" customFormat="1" ht="13.5">
      <c r="B177" s="163"/>
      <c r="C177" s="293"/>
      <c r="D177" s="293"/>
      <c r="E177" s="294" t="s">
        <v>183</v>
      </c>
      <c r="F177" s="295" t="s">
        <v>216</v>
      </c>
      <c r="G177" s="296"/>
      <c r="H177" s="296"/>
      <c r="I177" s="296"/>
      <c r="J177" s="296"/>
      <c r="K177" s="297">
        <f>(1+4.6+1)*0.4</f>
        <v>2.64</v>
      </c>
      <c r="L177" s="96"/>
      <c r="M177" s="113"/>
      <c r="N177" s="247"/>
      <c r="O177" s="247"/>
      <c r="P177" s="247"/>
      <c r="Q177" s="247"/>
      <c r="R177" s="116"/>
      <c r="S177" s="148"/>
      <c r="T177" s="116"/>
      <c r="U177" s="148"/>
      <c r="V177" s="167"/>
      <c r="W177" s="79"/>
    </row>
    <row r="178" spans="2:23" s="1" customFormat="1" ht="13.5">
      <c r="B178" s="163"/>
      <c r="C178" s="293"/>
      <c r="D178" s="293"/>
      <c r="E178" s="294" t="s">
        <v>185</v>
      </c>
      <c r="F178" s="295" t="s">
        <v>217</v>
      </c>
      <c r="G178" s="296"/>
      <c r="H178" s="296"/>
      <c r="I178" s="296"/>
      <c r="J178" s="296"/>
      <c r="K178" s="297">
        <f>(1+3)*0.4</f>
        <v>1.6</v>
      </c>
      <c r="L178" s="96"/>
      <c r="M178" s="113"/>
      <c r="N178" s="247"/>
      <c r="O178" s="247"/>
      <c r="P178" s="247"/>
      <c r="Q178" s="247"/>
      <c r="R178" s="116"/>
      <c r="S178" s="148"/>
      <c r="T178" s="116"/>
      <c r="U178" s="148"/>
      <c r="V178" s="167"/>
      <c r="W178" s="79"/>
    </row>
    <row r="179" spans="2:23" s="1" customFormat="1" ht="13.5">
      <c r="B179" s="163"/>
      <c r="C179" s="293"/>
      <c r="D179" s="293"/>
      <c r="E179" s="298"/>
      <c r="F179" s="299"/>
      <c r="G179" s="300"/>
      <c r="H179" s="300"/>
      <c r="I179" s="300"/>
      <c r="J179" s="301"/>
      <c r="K179" s="338">
        <f>SUM(K166:K178)</f>
        <v>60.989999999999995</v>
      </c>
      <c r="L179" s="96"/>
      <c r="M179" s="113"/>
      <c r="N179" s="144"/>
      <c r="O179" s="144"/>
      <c r="P179" s="144"/>
      <c r="Q179" s="144"/>
      <c r="R179" s="116"/>
      <c r="S179" s="148"/>
      <c r="T179" s="116"/>
      <c r="U179" s="148"/>
      <c r="V179" s="167"/>
      <c r="W179" s="79"/>
    </row>
    <row r="180" spans="2:59" s="1" customFormat="1" ht="26.25" customHeight="1">
      <c r="B180" s="163"/>
      <c r="C180" s="106">
        <v>13</v>
      </c>
      <c r="D180" s="106" t="s">
        <v>125</v>
      </c>
      <c r="E180" s="107"/>
      <c r="F180" s="457" t="s">
        <v>184</v>
      </c>
      <c r="G180" s="458"/>
      <c r="H180" s="458"/>
      <c r="I180" s="458"/>
      <c r="J180" s="108" t="s">
        <v>100</v>
      </c>
      <c r="K180" s="335">
        <f>K189</f>
        <v>45</v>
      </c>
      <c r="L180" s="459"/>
      <c r="M180" s="459"/>
      <c r="N180" s="460">
        <f>ROUND(L180*K180,2)</f>
        <v>0</v>
      </c>
      <c r="O180" s="461"/>
      <c r="P180" s="461"/>
      <c r="Q180" s="461"/>
      <c r="R180" s="97">
        <v>0.17</v>
      </c>
      <c r="S180" s="150">
        <f>R180*K180</f>
        <v>7.65</v>
      </c>
      <c r="T180" s="97">
        <v>0</v>
      </c>
      <c r="U180" s="150">
        <f>T180*K180</f>
        <v>0</v>
      </c>
      <c r="V180" s="122"/>
      <c r="AL180" s="8" t="s">
        <v>126</v>
      </c>
      <c r="AN180" s="8" t="s">
        <v>125</v>
      </c>
      <c r="AO180" s="8" t="s">
        <v>76</v>
      </c>
      <c r="AS180" s="8" t="s">
        <v>96</v>
      </c>
      <c r="AY180" s="78" t="e">
        <f>IF(#REF!="základní",N180,0)</f>
        <v>#REF!</v>
      </c>
      <c r="AZ180" s="78" t="e">
        <f>IF(#REF!="snížená",N180,0)</f>
        <v>#REF!</v>
      </c>
      <c r="BA180" s="78" t="e">
        <f>IF(#REF!="zákl. přenesená",N180,0)</f>
        <v>#REF!</v>
      </c>
      <c r="BB180" s="78" t="e">
        <f>IF(#REF!="sníž. přenesená",N180,0)</f>
        <v>#REF!</v>
      </c>
      <c r="BC180" s="78" t="e">
        <f>IF(#REF!="nulová",N180,0)</f>
        <v>#REF!</v>
      </c>
      <c r="BD180" s="8" t="s">
        <v>14</v>
      </c>
      <c r="BE180" s="78">
        <f>ROUND(L180*K180,2)</f>
        <v>0</v>
      </c>
      <c r="BF180" s="8" t="s">
        <v>101</v>
      </c>
      <c r="BG180" s="8" t="s">
        <v>127</v>
      </c>
    </row>
    <row r="181" spans="2:23" s="1" customFormat="1" ht="13.5">
      <c r="B181" s="163"/>
      <c r="C181" s="293"/>
      <c r="D181" s="293"/>
      <c r="E181" s="294" t="s">
        <v>180</v>
      </c>
      <c r="F181" s="295" t="s">
        <v>188</v>
      </c>
      <c r="G181" s="296"/>
      <c r="H181" s="296"/>
      <c r="I181" s="296"/>
      <c r="J181" s="296"/>
      <c r="K181" s="297">
        <f>2.9*(1.7-0.4)</f>
        <v>3.7699999999999996</v>
      </c>
      <c r="L181" s="96"/>
      <c r="M181" s="113"/>
      <c r="N181" s="144"/>
      <c r="O181" s="144"/>
      <c r="P181" s="144"/>
      <c r="Q181" s="144"/>
      <c r="R181" s="116"/>
      <c r="S181" s="148"/>
      <c r="T181" s="116"/>
      <c r="U181" s="148"/>
      <c r="V181" s="167"/>
      <c r="W181" s="79"/>
    </row>
    <row r="182" spans="2:23" s="1" customFormat="1" ht="13.5">
      <c r="B182" s="163"/>
      <c r="C182" s="293"/>
      <c r="D182" s="293"/>
      <c r="E182" s="294" t="s">
        <v>181</v>
      </c>
      <c r="F182" s="295" t="s">
        <v>189</v>
      </c>
      <c r="G182" s="296"/>
      <c r="H182" s="296"/>
      <c r="I182" s="296"/>
      <c r="J182" s="296"/>
      <c r="K182" s="297">
        <f>3.45*(1.8-0.4)</f>
        <v>4.83</v>
      </c>
      <c r="L182" s="96"/>
      <c r="M182" s="113"/>
      <c r="N182" s="144"/>
      <c r="O182" s="144"/>
      <c r="P182" s="144"/>
      <c r="Q182" s="144"/>
      <c r="R182" s="116"/>
      <c r="S182" s="148"/>
      <c r="T182" s="116"/>
      <c r="U182" s="148"/>
      <c r="V182" s="167"/>
      <c r="W182" s="79"/>
    </row>
    <row r="183" spans="2:23" s="1" customFormat="1" ht="13.5">
      <c r="B183" s="163"/>
      <c r="C183" s="293"/>
      <c r="D183" s="293"/>
      <c r="E183" s="294" t="s">
        <v>177</v>
      </c>
      <c r="F183" s="295" t="s">
        <v>190</v>
      </c>
      <c r="G183" s="296"/>
      <c r="H183" s="296"/>
      <c r="I183" s="296"/>
      <c r="J183" s="296"/>
      <c r="K183" s="297">
        <f>7.5*(1.75-0.4)</f>
        <v>10.125</v>
      </c>
      <c r="L183" s="96"/>
      <c r="M183" s="113"/>
      <c r="N183" s="144"/>
      <c r="O183" s="144"/>
      <c r="P183" s="144"/>
      <c r="Q183" s="144"/>
      <c r="R183" s="116"/>
      <c r="S183" s="148"/>
      <c r="T183" s="116"/>
      <c r="U183" s="148"/>
      <c r="V183" s="167"/>
      <c r="W183" s="79"/>
    </row>
    <row r="184" spans="2:23" s="1" customFormat="1" ht="13.5">
      <c r="B184" s="163"/>
      <c r="C184" s="293"/>
      <c r="D184" s="293"/>
      <c r="E184" s="294" t="s">
        <v>178</v>
      </c>
      <c r="F184" s="295" t="s">
        <v>190</v>
      </c>
      <c r="G184" s="296"/>
      <c r="H184" s="296"/>
      <c r="I184" s="296"/>
      <c r="J184" s="296"/>
      <c r="K184" s="297">
        <f>7.5*(1.75-0.4)</f>
        <v>10.125</v>
      </c>
      <c r="L184" s="96"/>
      <c r="M184" s="113"/>
      <c r="N184" s="144"/>
      <c r="O184" s="144"/>
      <c r="P184" s="144"/>
      <c r="Q184" s="144"/>
      <c r="R184" s="116"/>
      <c r="S184" s="148"/>
      <c r="T184" s="116"/>
      <c r="U184" s="148"/>
      <c r="V184" s="167"/>
      <c r="W184" s="79"/>
    </row>
    <row r="185" spans="2:23" s="1" customFormat="1" ht="13.5">
      <c r="B185" s="163"/>
      <c r="C185" s="293"/>
      <c r="D185" s="293"/>
      <c r="E185" s="294" t="s">
        <v>182</v>
      </c>
      <c r="F185" s="295" t="s">
        <v>191</v>
      </c>
      <c r="G185" s="296"/>
      <c r="H185" s="296"/>
      <c r="I185" s="296"/>
      <c r="J185" s="296"/>
      <c r="K185" s="297">
        <f>4*(2-0.4)</f>
        <v>6.4</v>
      </c>
      <c r="L185" s="96"/>
      <c r="M185" s="113"/>
      <c r="N185" s="144"/>
      <c r="O185" s="144"/>
      <c r="P185" s="144"/>
      <c r="Q185" s="144"/>
      <c r="R185" s="116"/>
      <c r="S185" s="148"/>
      <c r="T185" s="116"/>
      <c r="U185" s="148"/>
      <c r="V185" s="167"/>
      <c r="W185" s="79"/>
    </row>
    <row r="186" spans="2:23" s="1" customFormat="1" ht="13.5">
      <c r="B186" s="163"/>
      <c r="C186" s="293"/>
      <c r="D186" s="293"/>
      <c r="E186" s="294" t="s">
        <v>183</v>
      </c>
      <c r="F186" s="295" t="s">
        <v>192</v>
      </c>
      <c r="G186" s="296"/>
      <c r="H186" s="296"/>
      <c r="I186" s="296"/>
      <c r="J186" s="296"/>
      <c r="K186" s="297">
        <f>4.6*(2-0.4)</f>
        <v>7.359999999999999</v>
      </c>
      <c r="L186" s="96"/>
      <c r="M186" s="113"/>
      <c r="N186" s="144"/>
      <c r="O186" s="144"/>
      <c r="P186" s="144"/>
      <c r="Q186" s="144"/>
      <c r="R186" s="116"/>
      <c r="S186" s="148"/>
      <c r="T186" s="116"/>
      <c r="U186" s="148"/>
      <c r="V186" s="167"/>
      <c r="W186" s="79"/>
    </row>
    <row r="187" spans="2:23" s="1" customFormat="1" ht="13.5">
      <c r="B187" s="163"/>
      <c r="C187" s="293"/>
      <c r="D187" s="293"/>
      <c r="E187" s="298"/>
      <c r="F187" s="299"/>
      <c r="G187" s="300"/>
      <c r="H187" s="300"/>
      <c r="I187" s="300"/>
      <c r="J187" s="301"/>
      <c r="K187" s="338">
        <f>SUM(K181:K186)</f>
        <v>42.61</v>
      </c>
      <c r="L187" s="96"/>
      <c r="M187" s="113"/>
      <c r="N187" s="144"/>
      <c r="O187" s="144"/>
      <c r="P187" s="144"/>
      <c r="Q187" s="144"/>
      <c r="R187" s="116"/>
      <c r="S187" s="148"/>
      <c r="T187" s="116"/>
      <c r="U187" s="148"/>
      <c r="V187" s="167"/>
      <c r="W187" s="79"/>
    </row>
    <row r="188" spans="2:23" s="103" customFormat="1" ht="7.5">
      <c r="B188" s="168"/>
      <c r="C188" s="302"/>
      <c r="D188" s="302"/>
      <c r="E188" s="303"/>
      <c r="F188" s="304"/>
      <c r="G188" s="305"/>
      <c r="H188" s="305"/>
      <c r="I188" s="305"/>
      <c r="J188" s="306"/>
      <c r="K188" s="339"/>
      <c r="L188" s="169"/>
      <c r="M188" s="170"/>
      <c r="N188" s="171"/>
      <c r="O188" s="171"/>
      <c r="P188" s="171"/>
      <c r="Q188" s="171"/>
      <c r="R188" s="153"/>
      <c r="S188" s="151"/>
      <c r="T188" s="153"/>
      <c r="U188" s="151"/>
      <c r="V188" s="172"/>
      <c r="W188" s="104"/>
    </row>
    <row r="189" spans="2:23" s="1" customFormat="1" ht="13.5">
      <c r="B189" s="163"/>
      <c r="C189" s="293"/>
      <c r="D189" s="293"/>
      <c r="E189" s="307" t="s">
        <v>186</v>
      </c>
      <c r="F189" s="308">
        <v>0.05</v>
      </c>
      <c r="G189" s="309"/>
      <c r="H189" s="309"/>
      <c r="I189" s="309"/>
      <c r="J189" s="310"/>
      <c r="K189" s="340">
        <f>ROUNDUP(K187*1.05,0)</f>
        <v>45</v>
      </c>
      <c r="L189" s="96"/>
      <c r="M189" s="113"/>
      <c r="N189" s="144"/>
      <c r="O189" s="144"/>
      <c r="P189" s="144"/>
      <c r="Q189" s="144"/>
      <c r="R189" s="116"/>
      <c r="S189" s="148"/>
      <c r="T189" s="116"/>
      <c r="U189" s="148"/>
      <c r="V189" s="167"/>
      <c r="W189" s="79"/>
    </row>
    <row r="190" spans="2:59" s="1" customFormat="1" ht="26.25" customHeight="1">
      <c r="B190" s="163"/>
      <c r="C190" s="106">
        <v>14</v>
      </c>
      <c r="D190" s="106" t="s">
        <v>125</v>
      </c>
      <c r="E190" s="107"/>
      <c r="F190" s="457" t="s">
        <v>187</v>
      </c>
      <c r="G190" s="458"/>
      <c r="H190" s="458"/>
      <c r="I190" s="458"/>
      <c r="J190" s="108" t="s">
        <v>100</v>
      </c>
      <c r="K190" s="335">
        <f>K200</f>
        <v>20</v>
      </c>
      <c r="L190" s="459"/>
      <c r="M190" s="459"/>
      <c r="N190" s="460">
        <f>ROUND(L190*K190,2)</f>
        <v>0</v>
      </c>
      <c r="O190" s="461"/>
      <c r="P190" s="461"/>
      <c r="Q190" s="461"/>
      <c r="R190" s="97">
        <v>0.172</v>
      </c>
      <c r="S190" s="150">
        <f>R190*K190</f>
        <v>3.4399999999999995</v>
      </c>
      <c r="T190" s="97">
        <v>0</v>
      </c>
      <c r="U190" s="150">
        <f>T190*K190</f>
        <v>0</v>
      </c>
      <c r="V190" s="122"/>
      <c r="AL190" s="8" t="s">
        <v>126</v>
      </c>
      <c r="AN190" s="8" t="s">
        <v>125</v>
      </c>
      <c r="AO190" s="8" t="s">
        <v>76</v>
      </c>
      <c r="AS190" s="8" t="s">
        <v>96</v>
      </c>
      <c r="AY190" s="78" t="e">
        <f>IF(#REF!="základní",N190,0)</f>
        <v>#REF!</v>
      </c>
      <c r="AZ190" s="78" t="e">
        <f>IF(#REF!="snížená",N190,0)</f>
        <v>#REF!</v>
      </c>
      <c r="BA190" s="78" t="e">
        <f>IF(#REF!="zákl. přenesená",N190,0)</f>
        <v>#REF!</v>
      </c>
      <c r="BB190" s="78" t="e">
        <f>IF(#REF!="sníž. přenesená",N190,0)</f>
        <v>#REF!</v>
      </c>
      <c r="BC190" s="78" t="e">
        <f>IF(#REF!="nulová",N190,0)</f>
        <v>#REF!</v>
      </c>
      <c r="BD190" s="8" t="s">
        <v>14</v>
      </c>
      <c r="BE190" s="78">
        <f>ROUND(L190*K190,2)</f>
        <v>0</v>
      </c>
      <c r="BF190" s="8" t="s">
        <v>101</v>
      </c>
      <c r="BG190" s="8" t="s">
        <v>127</v>
      </c>
    </row>
    <row r="191" spans="2:23" s="1" customFormat="1" ht="13.5">
      <c r="B191" s="163"/>
      <c r="C191" s="293"/>
      <c r="D191" s="293"/>
      <c r="E191" s="294" t="s">
        <v>180</v>
      </c>
      <c r="F191" s="295" t="s">
        <v>212</v>
      </c>
      <c r="G191" s="296"/>
      <c r="H191" s="296"/>
      <c r="I191" s="296"/>
      <c r="J191" s="296"/>
      <c r="K191" s="297">
        <f>(1+2.9+1)*0.4</f>
        <v>1.9600000000000002</v>
      </c>
      <c r="L191" s="96"/>
      <c r="M191" s="113"/>
      <c r="N191" s="144"/>
      <c r="O191" s="144"/>
      <c r="P191" s="144"/>
      <c r="Q191" s="144"/>
      <c r="R191" s="116"/>
      <c r="S191" s="148"/>
      <c r="T191" s="116"/>
      <c r="U191" s="148"/>
      <c r="V191" s="167"/>
      <c r="W191" s="79"/>
    </row>
    <row r="192" spans="2:23" s="1" customFormat="1" ht="13.5">
      <c r="B192" s="163"/>
      <c r="C192" s="293"/>
      <c r="D192" s="293"/>
      <c r="E192" s="294" t="s">
        <v>181</v>
      </c>
      <c r="F192" s="295" t="s">
        <v>213</v>
      </c>
      <c r="G192" s="296"/>
      <c r="H192" s="296"/>
      <c r="I192" s="296"/>
      <c r="J192" s="296"/>
      <c r="K192" s="297">
        <f>(1+3.45+1)*0.4</f>
        <v>2.18</v>
      </c>
      <c r="L192" s="96"/>
      <c r="M192" s="113"/>
      <c r="N192" s="144"/>
      <c r="O192" s="144"/>
      <c r="P192" s="144"/>
      <c r="Q192" s="144"/>
      <c r="R192" s="116"/>
      <c r="S192" s="148"/>
      <c r="T192" s="116"/>
      <c r="U192" s="148"/>
      <c r="V192" s="167"/>
      <c r="W192" s="79"/>
    </row>
    <row r="193" spans="2:23" s="1" customFormat="1" ht="13.5">
      <c r="B193" s="163"/>
      <c r="C193" s="293"/>
      <c r="D193" s="293"/>
      <c r="E193" s="294" t="s">
        <v>177</v>
      </c>
      <c r="F193" s="295" t="s">
        <v>214</v>
      </c>
      <c r="G193" s="296"/>
      <c r="H193" s="296"/>
      <c r="I193" s="296"/>
      <c r="J193" s="296"/>
      <c r="K193" s="297">
        <f>(1+7.5+1)*0.4</f>
        <v>3.8000000000000003</v>
      </c>
      <c r="L193" s="96"/>
      <c r="M193" s="113"/>
      <c r="N193" s="144"/>
      <c r="O193" s="144"/>
      <c r="P193" s="144"/>
      <c r="Q193" s="144"/>
      <c r="R193" s="116"/>
      <c r="S193" s="148"/>
      <c r="T193" s="116"/>
      <c r="U193" s="148"/>
      <c r="V193" s="167"/>
      <c r="W193" s="79"/>
    </row>
    <row r="194" spans="2:23" s="1" customFormat="1" ht="13.5">
      <c r="B194" s="163"/>
      <c r="C194" s="293"/>
      <c r="D194" s="293"/>
      <c r="E194" s="294" t="s">
        <v>178</v>
      </c>
      <c r="F194" s="295" t="s">
        <v>214</v>
      </c>
      <c r="G194" s="355"/>
      <c r="H194" s="296"/>
      <c r="I194" s="296"/>
      <c r="J194" s="296"/>
      <c r="K194" s="297">
        <f>(1+7.5+1)*0.4</f>
        <v>3.8000000000000003</v>
      </c>
      <c r="L194" s="96"/>
      <c r="M194" s="113"/>
      <c r="N194" s="144"/>
      <c r="O194" s="144"/>
      <c r="P194" s="144"/>
      <c r="Q194" s="144"/>
      <c r="R194" s="116"/>
      <c r="S194" s="148"/>
      <c r="T194" s="116"/>
      <c r="U194" s="148"/>
      <c r="V194" s="167"/>
      <c r="W194" s="79"/>
    </row>
    <row r="195" spans="2:23" s="1" customFormat="1" ht="13.5">
      <c r="B195" s="163"/>
      <c r="C195" s="293"/>
      <c r="D195" s="293"/>
      <c r="E195" s="294" t="s">
        <v>182</v>
      </c>
      <c r="F195" s="295" t="s">
        <v>215</v>
      </c>
      <c r="G195" s="296"/>
      <c r="H195" s="296"/>
      <c r="I195" s="296"/>
      <c r="J195" s="296"/>
      <c r="K195" s="297">
        <f>(1+4+1)*0.4</f>
        <v>2.4000000000000004</v>
      </c>
      <c r="L195" s="96"/>
      <c r="M195" s="113"/>
      <c r="N195" s="144"/>
      <c r="O195" s="144"/>
      <c r="P195" s="144"/>
      <c r="Q195" s="144"/>
      <c r="R195" s="116"/>
      <c r="S195" s="148"/>
      <c r="T195" s="116"/>
      <c r="U195" s="148"/>
      <c r="V195" s="167"/>
      <c r="W195" s="79"/>
    </row>
    <row r="196" spans="2:23" s="1" customFormat="1" ht="13.5">
      <c r="B196" s="163"/>
      <c r="C196" s="293"/>
      <c r="D196" s="293"/>
      <c r="E196" s="294" t="s">
        <v>183</v>
      </c>
      <c r="F196" s="295" t="s">
        <v>216</v>
      </c>
      <c r="G196" s="296"/>
      <c r="H196" s="296"/>
      <c r="I196" s="296"/>
      <c r="J196" s="296"/>
      <c r="K196" s="297">
        <f>(1+4.6+1)*0.4</f>
        <v>2.64</v>
      </c>
      <c r="L196" s="96"/>
      <c r="M196" s="113"/>
      <c r="N196" s="144"/>
      <c r="O196" s="144"/>
      <c r="P196" s="144"/>
      <c r="Q196" s="144"/>
      <c r="R196" s="116"/>
      <c r="S196" s="148"/>
      <c r="T196" s="116"/>
      <c r="U196" s="148"/>
      <c r="V196" s="167"/>
      <c r="W196" s="79"/>
    </row>
    <row r="197" spans="2:23" s="1" customFormat="1" ht="13.5">
      <c r="B197" s="163"/>
      <c r="C197" s="293"/>
      <c r="D197" s="293"/>
      <c r="E197" s="294" t="s">
        <v>185</v>
      </c>
      <c r="F197" s="295" t="s">
        <v>217</v>
      </c>
      <c r="G197" s="296"/>
      <c r="H197" s="296"/>
      <c r="I197" s="296"/>
      <c r="J197" s="296"/>
      <c r="K197" s="297">
        <f>(1+3)*0.4</f>
        <v>1.6</v>
      </c>
      <c r="L197" s="96"/>
      <c r="M197" s="113"/>
      <c r="N197" s="144"/>
      <c r="O197" s="144"/>
      <c r="P197" s="144"/>
      <c r="Q197" s="144"/>
      <c r="R197" s="116"/>
      <c r="S197" s="148"/>
      <c r="T197" s="116"/>
      <c r="U197" s="148"/>
      <c r="V197" s="167"/>
      <c r="W197" s="79"/>
    </row>
    <row r="198" spans="2:23" s="1" customFormat="1" ht="13.5">
      <c r="B198" s="163"/>
      <c r="C198" s="293"/>
      <c r="D198" s="293"/>
      <c r="E198" s="298"/>
      <c r="F198" s="299"/>
      <c r="G198" s="300"/>
      <c r="H198" s="300"/>
      <c r="I198" s="300"/>
      <c r="J198" s="301"/>
      <c r="K198" s="338">
        <f>SUM(K191:K197)</f>
        <v>18.380000000000003</v>
      </c>
      <c r="L198" s="96"/>
      <c r="M198" s="113"/>
      <c r="N198" s="144"/>
      <c r="O198" s="144"/>
      <c r="P198" s="144"/>
      <c r="Q198" s="144"/>
      <c r="R198" s="116"/>
      <c r="S198" s="148"/>
      <c r="T198" s="116"/>
      <c r="U198" s="148"/>
      <c r="V198" s="167"/>
      <c r="W198" s="79"/>
    </row>
    <row r="199" spans="2:23" s="103" customFormat="1" ht="7.5">
      <c r="B199" s="168"/>
      <c r="C199" s="302"/>
      <c r="D199" s="302"/>
      <c r="E199" s="303"/>
      <c r="F199" s="304"/>
      <c r="G199" s="305"/>
      <c r="H199" s="305"/>
      <c r="I199" s="305"/>
      <c r="J199" s="306"/>
      <c r="K199" s="339"/>
      <c r="L199" s="169"/>
      <c r="M199" s="170"/>
      <c r="N199" s="171"/>
      <c r="O199" s="171"/>
      <c r="P199" s="171"/>
      <c r="Q199" s="171"/>
      <c r="R199" s="153"/>
      <c r="S199" s="151"/>
      <c r="T199" s="153"/>
      <c r="U199" s="151"/>
      <c r="V199" s="172"/>
      <c r="W199" s="104"/>
    </row>
    <row r="200" spans="2:23" s="1" customFormat="1" ht="13.5">
      <c r="B200" s="163"/>
      <c r="C200" s="293"/>
      <c r="D200" s="293"/>
      <c r="E200" s="307" t="s">
        <v>186</v>
      </c>
      <c r="F200" s="308">
        <v>0.05</v>
      </c>
      <c r="G200" s="309"/>
      <c r="H200" s="309"/>
      <c r="I200" s="309"/>
      <c r="J200" s="310"/>
      <c r="K200" s="340">
        <f>ROUNDUP(K198*1.05,0)</f>
        <v>20</v>
      </c>
      <c r="L200" s="96"/>
      <c r="M200" s="113"/>
      <c r="N200" s="144"/>
      <c r="O200" s="144"/>
      <c r="P200" s="144"/>
      <c r="Q200" s="144"/>
      <c r="R200" s="116"/>
      <c r="S200" s="148"/>
      <c r="T200" s="116"/>
      <c r="U200" s="148"/>
      <c r="V200" s="167"/>
      <c r="W200" s="79"/>
    </row>
    <row r="201" spans="2:57" s="88" customFormat="1" ht="15">
      <c r="B201" s="161"/>
      <c r="C201" s="356"/>
      <c r="D201" s="357" t="s">
        <v>87</v>
      </c>
      <c r="E201" s="357"/>
      <c r="F201" s="357"/>
      <c r="G201" s="357"/>
      <c r="H201" s="357"/>
      <c r="I201" s="357"/>
      <c r="J201" s="357"/>
      <c r="K201" s="358"/>
      <c r="L201" s="90"/>
      <c r="M201" s="90"/>
      <c r="N201" s="438">
        <f>SUM(N202:Q229)</f>
        <v>0</v>
      </c>
      <c r="O201" s="439"/>
      <c r="P201" s="439"/>
      <c r="Q201" s="439"/>
      <c r="R201" s="91"/>
      <c r="S201" s="147">
        <f>SUM(S202:S229)</f>
        <v>16.036915500000003</v>
      </c>
      <c r="T201" s="91"/>
      <c r="U201" s="147">
        <f>SUM(U202:U229)</f>
        <v>0</v>
      </c>
      <c r="V201" s="162"/>
      <c r="AL201" s="92" t="s">
        <v>14</v>
      </c>
      <c r="AN201" s="93" t="s">
        <v>66</v>
      </c>
      <c r="AO201" s="93" t="s">
        <v>14</v>
      </c>
      <c r="AS201" s="92" t="s">
        <v>96</v>
      </c>
      <c r="BE201" s="94">
        <f>SUM(BE202:BE223)</f>
        <v>0</v>
      </c>
    </row>
    <row r="202" spans="2:59" s="1" customFormat="1" ht="26.25" customHeight="1">
      <c r="B202" s="163"/>
      <c r="C202" s="109">
        <v>15</v>
      </c>
      <c r="D202" s="109" t="s">
        <v>97</v>
      </c>
      <c r="E202" s="110" t="s">
        <v>131</v>
      </c>
      <c r="F202" s="435" t="s">
        <v>132</v>
      </c>
      <c r="G202" s="436"/>
      <c r="H202" s="436"/>
      <c r="I202" s="436"/>
      <c r="J202" s="111" t="s">
        <v>117</v>
      </c>
      <c r="K202" s="336">
        <f>K206</f>
        <v>78.9</v>
      </c>
      <c r="L202" s="430"/>
      <c r="M202" s="431"/>
      <c r="N202" s="432">
        <f>ROUND(L202*K202,2)</f>
        <v>0</v>
      </c>
      <c r="O202" s="432"/>
      <c r="P202" s="432"/>
      <c r="Q202" s="432"/>
      <c r="R202" s="87">
        <v>0.1554</v>
      </c>
      <c r="S202" s="133">
        <f>R202*K202</f>
        <v>12.261060000000002</v>
      </c>
      <c r="T202" s="87">
        <v>0</v>
      </c>
      <c r="U202" s="133">
        <f>T202*K202</f>
        <v>0</v>
      </c>
      <c r="V202" s="122"/>
      <c r="AL202" s="8" t="s">
        <v>101</v>
      </c>
      <c r="AN202" s="8" t="s">
        <v>97</v>
      </c>
      <c r="AO202" s="8" t="s">
        <v>76</v>
      </c>
      <c r="AS202" s="8" t="s">
        <v>96</v>
      </c>
      <c r="AY202" s="78" t="e">
        <f>IF(#REF!="základní",N202,0)</f>
        <v>#REF!</v>
      </c>
      <c r="AZ202" s="78" t="e">
        <f>IF(#REF!="snížená",N202,0)</f>
        <v>#REF!</v>
      </c>
      <c r="BA202" s="78" t="e">
        <f>IF(#REF!="zákl. přenesená",N202,0)</f>
        <v>#REF!</v>
      </c>
      <c r="BB202" s="78" t="e">
        <f>IF(#REF!="sníž. přenesená",N202,0)</f>
        <v>#REF!</v>
      </c>
      <c r="BC202" s="78" t="e">
        <f>IF(#REF!="nulová",N202,0)</f>
        <v>#REF!</v>
      </c>
      <c r="BD202" s="8" t="s">
        <v>14</v>
      </c>
      <c r="BE202" s="78">
        <f>ROUND(L202*K202,2)</f>
        <v>0</v>
      </c>
      <c r="BF202" s="8" t="s">
        <v>101</v>
      </c>
      <c r="BG202" s="8" t="s">
        <v>133</v>
      </c>
    </row>
    <row r="203" spans="2:23" s="1" customFormat="1" ht="13.5">
      <c r="B203" s="163"/>
      <c r="C203" s="293"/>
      <c r="D203" s="293"/>
      <c r="E203" s="294" t="s">
        <v>241</v>
      </c>
      <c r="F203" s="295" t="s">
        <v>242</v>
      </c>
      <c r="G203" s="296"/>
      <c r="H203" s="296"/>
      <c r="I203" s="296"/>
      <c r="J203" s="296"/>
      <c r="K203" s="297">
        <f>2*1+2*6</f>
        <v>14</v>
      </c>
      <c r="L203" s="96"/>
      <c r="M203" s="113"/>
      <c r="N203" s="144"/>
      <c r="O203" s="144"/>
      <c r="P203" s="144"/>
      <c r="Q203" s="144"/>
      <c r="R203" s="116"/>
      <c r="S203" s="148"/>
      <c r="T203" s="116"/>
      <c r="U203" s="148"/>
      <c r="V203" s="167"/>
      <c r="W203" s="79"/>
    </row>
    <row r="204" spans="2:23" s="1" customFormat="1" ht="13.5">
      <c r="B204" s="163"/>
      <c r="C204" s="293"/>
      <c r="D204" s="293"/>
      <c r="E204" s="294" t="s">
        <v>243</v>
      </c>
      <c r="F204" s="295" t="s">
        <v>244</v>
      </c>
      <c r="G204" s="296"/>
      <c r="H204" s="296"/>
      <c r="I204" s="296"/>
      <c r="J204" s="296"/>
      <c r="K204" s="297">
        <f>3+2.9+3.45+7.5+7.5+4+4.6</f>
        <v>32.95</v>
      </c>
      <c r="L204" s="96"/>
      <c r="M204" s="113"/>
      <c r="N204" s="144"/>
      <c r="O204" s="144"/>
      <c r="P204" s="144"/>
      <c r="Q204" s="144"/>
      <c r="R204" s="116"/>
      <c r="S204" s="148"/>
      <c r="T204" s="116"/>
      <c r="U204" s="148"/>
      <c r="V204" s="167"/>
      <c r="W204" s="79"/>
    </row>
    <row r="205" spans="2:23" s="1" customFormat="1" ht="13.5">
      <c r="B205" s="163"/>
      <c r="C205" s="293"/>
      <c r="D205" s="293"/>
      <c r="E205" s="294" t="s">
        <v>245</v>
      </c>
      <c r="F205" s="295" t="s">
        <v>246</v>
      </c>
      <c r="G205" s="296"/>
      <c r="H205" s="296"/>
      <c r="I205" s="296"/>
      <c r="J205" s="296"/>
      <c r="K205" s="297">
        <f>2+2.9+3.45+7.5+7.5+4+4.6</f>
        <v>31.950000000000003</v>
      </c>
      <c r="L205" s="96"/>
      <c r="M205" s="113"/>
      <c r="N205" s="247"/>
      <c r="O205" s="247"/>
      <c r="P205" s="247"/>
      <c r="Q205" s="247"/>
      <c r="R205" s="116"/>
      <c r="S205" s="148"/>
      <c r="T205" s="116"/>
      <c r="U205" s="148"/>
      <c r="V205" s="167"/>
      <c r="W205" s="79"/>
    </row>
    <row r="206" spans="2:23" s="1" customFormat="1" ht="13.5">
      <c r="B206" s="163"/>
      <c r="C206" s="293"/>
      <c r="D206" s="293"/>
      <c r="E206" s="298"/>
      <c r="F206" s="299"/>
      <c r="G206" s="300"/>
      <c r="H206" s="300"/>
      <c r="I206" s="300"/>
      <c r="J206" s="301"/>
      <c r="K206" s="338">
        <f>SUM(K203:K205)</f>
        <v>78.9</v>
      </c>
      <c r="L206" s="96"/>
      <c r="M206" s="113"/>
      <c r="N206" s="144"/>
      <c r="O206" s="144"/>
      <c r="P206" s="144"/>
      <c r="Q206" s="144"/>
      <c r="R206" s="116"/>
      <c r="S206" s="148"/>
      <c r="T206" s="116"/>
      <c r="U206" s="148"/>
      <c r="V206" s="167"/>
      <c r="W206" s="79"/>
    </row>
    <row r="207" spans="2:59" s="1" customFormat="1" ht="26.25" customHeight="1">
      <c r="B207" s="163"/>
      <c r="C207" s="106">
        <v>16</v>
      </c>
      <c r="D207" s="106" t="s">
        <v>125</v>
      </c>
      <c r="E207" s="107" t="s">
        <v>137</v>
      </c>
      <c r="F207" s="440" t="s">
        <v>138</v>
      </c>
      <c r="G207" s="441"/>
      <c r="H207" s="441"/>
      <c r="I207" s="442"/>
      <c r="J207" s="108" t="s">
        <v>135</v>
      </c>
      <c r="K207" s="335">
        <f>K210</f>
        <v>14</v>
      </c>
      <c r="L207" s="443"/>
      <c r="M207" s="444"/>
      <c r="N207" s="445">
        <f>ROUND(L207*K207,2)</f>
        <v>0</v>
      </c>
      <c r="O207" s="446"/>
      <c r="P207" s="446"/>
      <c r="Q207" s="447"/>
      <c r="R207" s="97">
        <v>0.068</v>
      </c>
      <c r="S207" s="150">
        <f>R207*K207</f>
        <v>0.9520000000000001</v>
      </c>
      <c r="T207" s="97">
        <v>0</v>
      </c>
      <c r="U207" s="150">
        <f>T207*K207</f>
        <v>0</v>
      </c>
      <c r="V207" s="122"/>
      <c r="AL207" s="8" t="s">
        <v>126</v>
      </c>
      <c r="AN207" s="8" t="s">
        <v>125</v>
      </c>
      <c r="AO207" s="8" t="s">
        <v>76</v>
      </c>
      <c r="AS207" s="8" t="s">
        <v>96</v>
      </c>
      <c r="AY207" s="78" t="e">
        <f>IF(#REF!="základní",N207,0)</f>
        <v>#REF!</v>
      </c>
      <c r="AZ207" s="78" t="e">
        <f>IF(#REF!="snížená",N207,0)</f>
        <v>#REF!</v>
      </c>
      <c r="BA207" s="78" t="e">
        <f>IF(#REF!="zákl. přenesená",N207,0)</f>
        <v>#REF!</v>
      </c>
      <c r="BB207" s="78" t="e">
        <f>IF(#REF!="sníž. přenesená",N207,0)</f>
        <v>#REF!</v>
      </c>
      <c r="BC207" s="78" t="e">
        <f>IF(#REF!="nulová",N207,0)</f>
        <v>#REF!</v>
      </c>
      <c r="BD207" s="8" t="s">
        <v>14</v>
      </c>
      <c r="BE207" s="78">
        <f>ROUND(L207*K207,2)</f>
        <v>0</v>
      </c>
      <c r="BF207" s="8" t="s">
        <v>101</v>
      </c>
      <c r="BG207" s="8" t="s">
        <v>139</v>
      </c>
    </row>
    <row r="208" spans="2:23" s="1" customFormat="1" ht="13.5">
      <c r="B208" s="163"/>
      <c r="C208" s="293"/>
      <c r="D208" s="293"/>
      <c r="E208" s="294" t="s">
        <v>205</v>
      </c>
      <c r="F208" s="295" t="s">
        <v>239</v>
      </c>
      <c r="G208" s="296"/>
      <c r="H208" s="296"/>
      <c r="I208" s="296"/>
      <c r="J208" s="296"/>
      <c r="K208" s="297">
        <f>2*1</f>
        <v>2</v>
      </c>
      <c r="L208" s="96"/>
      <c r="M208" s="113"/>
      <c r="N208" s="144"/>
      <c r="O208" s="144"/>
      <c r="P208" s="144"/>
      <c r="Q208" s="144"/>
      <c r="R208" s="116"/>
      <c r="S208" s="148"/>
      <c r="T208" s="116"/>
      <c r="U208" s="148"/>
      <c r="V208" s="167"/>
      <c r="W208" s="79"/>
    </row>
    <row r="209" spans="2:23" s="1" customFormat="1" ht="13.5">
      <c r="B209" s="163"/>
      <c r="C209" s="293"/>
      <c r="D209" s="293"/>
      <c r="E209" s="294" t="s">
        <v>202</v>
      </c>
      <c r="F209" s="295" t="s">
        <v>240</v>
      </c>
      <c r="G209" s="296"/>
      <c r="H209" s="296"/>
      <c r="I209" s="296"/>
      <c r="J209" s="296"/>
      <c r="K209" s="297">
        <f>2*6</f>
        <v>12</v>
      </c>
      <c r="L209" s="96"/>
      <c r="M209" s="113"/>
      <c r="N209" s="289"/>
      <c r="O209" s="289"/>
      <c r="P209" s="289"/>
      <c r="Q209" s="289"/>
      <c r="R209" s="116"/>
      <c r="S209" s="148"/>
      <c r="T209" s="116"/>
      <c r="U209" s="148"/>
      <c r="V209" s="167"/>
      <c r="W209" s="79"/>
    </row>
    <row r="210" spans="2:23" s="1" customFormat="1" ht="13.5">
      <c r="B210" s="163"/>
      <c r="C210" s="293"/>
      <c r="D210" s="293"/>
      <c r="E210" s="298"/>
      <c r="F210" s="299"/>
      <c r="G210" s="300"/>
      <c r="H210" s="300"/>
      <c r="I210" s="300"/>
      <c r="J210" s="301"/>
      <c r="K210" s="338">
        <f>SUM(K208:K209)</f>
        <v>14</v>
      </c>
      <c r="L210" s="96"/>
      <c r="M210" s="113"/>
      <c r="N210" s="144"/>
      <c r="O210" s="144"/>
      <c r="P210" s="144"/>
      <c r="Q210" s="144"/>
      <c r="R210" s="116"/>
      <c r="S210" s="148"/>
      <c r="T210" s="116"/>
      <c r="U210" s="148"/>
      <c r="V210" s="167"/>
      <c r="W210" s="79"/>
    </row>
    <row r="211" spans="2:59" s="1" customFormat="1" ht="13.5">
      <c r="B211" s="163"/>
      <c r="C211" s="106">
        <v>17</v>
      </c>
      <c r="D211" s="106" t="s">
        <v>125</v>
      </c>
      <c r="E211" s="107" t="s">
        <v>134</v>
      </c>
      <c r="F211" s="440" t="s">
        <v>203</v>
      </c>
      <c r="G211" s="441"/>
      <c r="H211" s="441"/>
      <c r="I211" s="442"/>
      <c r="J211" s="108" t="s">
        <v>135</v>
      </c>
      <c r="K211" s="335">
        <f>K216</f>
        <v>35</v>
      </c>
      <c r="L211" s="443"/>
      <c r="M211" s="444"/>
      <c r="N211" s="445">
        <f>ROUND(L211*K211,2)</f>
        <v>0</v>
      </c>
      <c r="O211" s="446"/>
      <c r="P211" s="446"/>
      <c r="Q211" s="447"/>
      <c r="R211" s="97">
        <v>0.048</v>
      </c>
      <c r="S211" s="150">
        <f>R211*K211</f>
        <v>1.68</v>
      </c>
      <c r="T211" s="97">
        <v>0</v>
      </c>
      <c r="U211" s="150">
        <f>T211*K211</f>
        <v>0</v>
      </c>
      <c r="V211" s="122"/>
      <c r="AL211" s="8" t="s">
        <v>126</v>
      </c>
      <c r="AN211" s="8" t="s">
        <v>125</v>
      </c>
      <c r="AO211" s="8" t="s">
        <v>76</v>
      </c>
      <c r="AS211" s="8" t="s">
        <v>96</v>
      </c>
      <c r="AY211" s="78" t="e">
        <f>IF(#REF!="základní",N211,0)</f>
        <v>#REF!</v>
      </c>
      <c r="AZ211" s="78" t="e">
        <f>IF(#REF!="snížená",N211,0)</f>
        <v>#REF!</v>
      </c>
      <c r="BA211" s="78" t="e">
        <f>IF(#REF!="zákl. přenesená",N211,0)</f>
        <v>#REF!</v>
      </c>
      <c r="BB211" s="78" t="e">
        <f>IF(#REF!="sníž. přenesená",N211,0)</f>
        <v>#REF!</v>
      </c>
      <c r="BC211" s="78" t="e">
        <f>IF(#REF!="nulová",N211,0)</f>
        <v>#REF!</v>
      </c>
      <c r="BD211" s="8" t="s">
        <v>14</v>
      </c>
      <c r="BE211" s="78">
        <f>ROUND(L211*K211,2)</f>
        <v>0</v>
      </c>
      <c r="BF211" s="8" t="s">
        <v>101</v>
      </c>
      <c r="BG211" s="8" t="s">
        <v>136</v>
      </c>
    </row>
    <row r="212" spans="2:23" s="1" customFormat="1" ht="13.5">
      <c r="B212" s="163"/>
      <c r="C212" s="293"/>
      <c r="D212" s="293"/>
      <c r="E212" s="294" t="s">
        <v>205</v>
      </c>
      <c r="F212" s="295" t="s">
        <v>238</v>
      </c>
      <c r="G212" s="296"/>
      <c r="H212" s="296"/>
      <c r="I212" s="296"/>
      <c r="J212" s="296"/>
      <c r="K212" s="297">
        <f>3</f>
        <v>3</v>
      </c>
      <c r="L212" s="96"/>
      <c r="M212" s="113"/>
      <c r="N212" s="144"/>
      <c r="O212" s="144"/>
      <c r="P212" s="144"/>
      <c r="Q212" s="144"/>
      <c r="R212" s="116"/>
      <c r="S212" s="148"/>
      <c r="T212" s="116"/>
      <c r="U212" s="148"/>
      <c r="V212" s="167"/>
      <c r="W212" s="79"/>
    </row>
    <row r="213" spans="2:23" s="1" customFormat="1" ht="13.5">
      <c r="B213" s="163"/>
      <c r="C213" s="293"/>
      <c r="D213" s="293"/>
      <c r="E213" s="294" t="s">
        <v>202</v>
      </c>
      <c r="F213" s="295" t="s">
        <v>230</v>
      </c>
      <c r="G213" s="296"/>
      <c r="H213" s="296"/>
      <c r="I213" s="296"/>
      <c r="J213" s="296"/>
      <c r="K213" s="297">
        <f>2.9+3.45+7.5+7.5+4+4.6</f>
        <v>29.950000000000003</v>
      </c>
      <c r="L213" s="96"/>
      <c r="M213" s="113"/>
      <c r="N213" s="289"/>
      <c r="O213" s="289"/>
      <c r="P213" s="289"/>
      <c r="Q213" s="289"/>
      <c r="R213" s="116"/>
      <c r="S213" s="148"/>
      <c r="T213" s="116"/>
      <c r="U213" s="148"/>
      <c r="V213" s="167"/>
      <c r="W213" s="79"/>
    </row>
    <row r="214" spans="2:23" s="1" customFormat="1" ht="13.5">
      <c r="B214" s="163"/>
      <c r="C214" s="293"/>
      <c r="D214" s="293"/>
      <c r="E214" s="298"/>
      <c r="F214" s="299"/>
      <c r="G214" s="300"/>
      <c r="H214" s="300"/>
      <c r="I214" s="300"/>
      <c r="J214" s="301"/>
      <c r="K214" s="338">
        <f>SUM(K212:K213)</f>
        <v>32.95</v>
      </c>
      <c r="L214" s="96"/>
      <c r="M214" s="113"/>
      <c r="N214" s="144"/>
      <c r="O214" s="144"/>
      <c r="P214" s="144"/>
      <c r="Q214" s="144"/>
      <c r="R214" s="116"/>
      <c r="S214" s="148"/>
      <c r="T214" s="116"/>
      <c r="U214" s="148"/>
      <c r="V214" s="167"/>
      <c r="W214" s="79"/>
    </row>
    <row r="215" spans="2:23" s="103" customFormat="1" ht="7.5">
      <c r="B215" s="168"/>
      <c r="C215" s="302"/>
      <c r="D215" s="302"/>
      <c r="E215" s="303"/>
      <c r="F215" s="304"/>
      <c r="G215" s="305"/>
      <c r="H215" s="305"/>
      <c r="I215" s="305"/>
      <c r="J215" s="306"/>
      <c r="K215" s="339"/>
      <c r="L215" s="169"/>
      <c r="M215" s="170"/>
      <c r="N215" s="171"/>
      <c r="O215" s="171"/>
      <c r="P215" s="171"/>
      <c r="Q215" s="171"/>
      <c r="R215" s="153"/>
      <c r="S215" s="151"/>
      <c r="T215" s="153"/>
      <c r="U215" s="151"/>
      <c r="V215" s="172"/>
      <c r="W215" s="104"/>
    </row>
    <row r="216" spans="2:23" s="1" customFormat="1" ht="13.5">
      <c r="B216" s="163"/>
      <c r="C216" s="293"/>
      <c r="D216" s="293"/>
      <c r="E216" s="307" t="s">
        <v>186</v>
      </c>
      <c r="F216" s="308">
        <v>0.05</v>
      </c>
      <c r="G216" s="309"/>
      <c r="H216" s="309"/>
      <c r="I216" s="309"/>
      <c r="J216" s="310"/>
      <c r="K216" s="340">
        <f>ROUNDUP(K214*1.05,0)</f>
        <v>35</v>
      </c>
      <c r="L216" s="96"/>
      <c r="M216" s="113"/>
      <c r="N216" s="144"/>
      <c r="O216" s="144"/>
      <c r="P216" s="144"/>
      <c r="Q216" s="144"/>
      <c r="R216" s="116"/>
      <c r="S216" s="148"/>
      <c r="T216" s="116"/>
      <c r="U216" s="148"/>
      <c r="V216" s="167"/>
      <c r="W216" s="79"/>
    </row>
    <row r="217" spans="2:59" s="1" customFormat="1" ht="13.5">
      <c r="B217" s="163"/>
      <c r="C217" s="106">
        <v>18</v>
      </c>
      <c r="D217" s="106" t="s">
        <v>125</v>
      </c>
      <c r="E217" s="107" t="s">
        <v>204</v>
      </c>
      <c r="F217" s="440" t="s">
        <v>229</v>
      </c>
      <c r="G217" s="441"/>
      <c r="H217" s="441"/>
      <c r="I217" s="442"/>
      <c r="J217" s="108" t="s">
        <v>135</v>
      </c>
      <c r="K217" s="335">
        <f>K222</f>
        <v>34</v>
      </c>
      <c r="L217" s="443"/>
      <c r="M217" s="444"/>
      <c r="N217" s="445">
        <f>ROUND(L217*K217,2)</f>
        <v>0</v>
      </c>
      <c r="O217" s="446"/>
      <c r="P217" s="446"/>
      <c r="Q217" s="447"/>
      <c r="R217" s="97">
        <v>0.0335</v>
      </c>
      <c r="S217" s="150">
        <f>R217*K217</f>
        <v>1.139</v>
      </c>
      <c r="T217" s="97">
        <v>0</v>
      </c>
      <c r="U217" s="150">
        <f>T217*K217</f>
        <v>0</v>
      </c>
      <c r="V217" s="122"/>
      <c r="AL217" s="8" t="s">
        <v>126</v>
      </c>
      <c r="AN217" s="8" t="s">
        <v>125</v>
      </c>
      <c r="AO217" s="8" t="s">
        <v>76</v>
      </c>
      <c r="AS217" s="8" t="s">
        <v>96</v>
      </c>
      <c r="AY217" s="78" t="e">
        <f>IF(#REF!="základní",N217,0)</f>
        <v>#REF!</v>
      </c>
      <c r="AZ217" s="78" t="e">
        <f>IF(#REF!="snížená",N217,0)</f>
        <v>#REF!</v>
      </c>
      <c r="BA217" s="78" t="e">
        <f>IF(#REF!="zákl. přenesená",N217,0)</f>
        <v>#REF!</v>
      </c>
      <c r="BB217" s="78" t="e">
        <f>IF(#REF!="sníž. přenesená",N217,0)</f>
        <v>#REF!</v>
      </c>
      <c r="BC217" s="78" t="e">
        <f>IF(#REF!="nulová",N217,0)</f>
        <v>#REF!</v>
      </c>
      <c r="BD217" s="8" t="s">
        <v>14</v>
      </c>
      <c r="BE217" s="78">
        <f>ROUND(L217*K217,2)</f>
        <v>0</v>
      </c>
      <c r="BF217" s="8" t="s">
        <v>101</v>
      </c>
      <c r="BG217" s="8" t="s">
        <v>136</v>
      </c>
    </row>
    <row r="218" spans="2:23" s="1" customFormat="1" ht="13.5">
      <c r="B218" s="163"/>
      <c r="C218" s="293"/>
      <c r="D218" s="293"/>
      <c r="E218" s="294" t="s">
        <v>205</v>
      </c>
      <c r="F218" s="295" t="s">
        <v>206</v>
      </c>
      <c r="G218" s="296"/>
      <c r="H218" s="296"/>
      <c r="I218" s="296"/>
      <c r="J218" s="296"/>
      <c r="K218" s="297">
        <v>2</v>
      </c>
      <c r="L218" s="96"/>
      <c r="M218" s="113"/>
      <c r="N218" s="144"/>
      <c r="O218" s="144"/>
      <c r="P218" s="144"/>
      <c r="Q218" s="144"/>
      <c r="R218" s="116"/>
      <c r="S218" s="148"/>
      <c r="T218" s="116"/>
      <c r="U218" s="148"/>
      <c r="V218" s="167"/>
      <c r="W218" s="79"/>
    </row>
    <row r="219" spans="2:23" s="1" customFormat="1" ht="13.5">
      <c r="B219" s="163"/>
      <c r="C219" s="293"/>
      <c r="D219" s="293"/>
      <c r="E219" s="294" t="s">
        <v>202</v>
      </c>
      <c r="F219" s="295" t="s">
        <v>230</v>
      </c>
      <c r="G219" s="296"/>
      <c r="H219" s="296"/>
      <c r="I219" s="296"/>
      <c r="J219" s="296"/>
      <c r="K219" s="297">
        <f>2.9+3.45+7.5+7.5+4+4.6</f>
        <v>29.950000000000003</v>
      </c>
      <c r="L219" s="96"/>
      <c r="M219" s="113"/>
      <c r="N219" s="247"/>
      <c r="O219" s="247"/>
      <c r="P219" s="247"/>
      <c r="Q219" s="247"/>
      <c r="R219" s="116"/>
      <c r="S219" s="148"/>
      <c r="T219" s="116"/>
      <c r="U219" s="148"/>
      <c r="V219" s="167"/>
      <c r="W219" s="79"/>
    </row>
    <row r="220" spans="2:23" s="1" customFormat="1" ht="13.5">
      <c r="B220" s="163"/>
      <c r="C220" s="293"/>
      <c r="D220" s="293"/>
      <c r="E220" s="298"/>
      <c r="F220" s="299"/>
      <c r="G220" s="300"/>
      <c r="H220" s="300"/>
      <c r="I220" s="300"/>
      <c r="J220" s="301"/>
      <c r="K220" s="338">
        <f>SUM(K218:K219)</f>
        <v>31.950000000000003</v>
      </c>
      <c r="L220" s="96"/>
      <c r="M220" s="113"/>
      <c r="N220" s="144"/>
      <c r="O220" s="144"/>
      <c r="P220" s="144"/>
      <c r="Q220" s="144"/>
      <c r="R220" s="116"/>
      <c r="S220" s="148"/>
      <c r="T220" s="116"/>
      <c r="U220" s="148"/>
      <c r="V220" s="167"/>
      <c r="W220" s="79"/>
    </row>
    <row r="221" spans="2:23" s="103" customFormat="1" ht="7.5">
      <c r="B221" s="168"/>
      <c r="C221" s="302"/>
      <c r="D221" s="302"/>
      <c r="E221" s="303"/>
      <c r="F221" s="304"/>
      <c r="G221" s="305"/>
      <c r="H221" s="305"/>
      <c r="I221" s="305"/>
      <c r="J221" s="306"/>
      <c r="K221" s="339"/>
      <c r="L221" s="169"/>
      <c r="M221" s="170"/>
      <c r="N221" s="171"/>
      <c r="O221" s="171"/>
      <c r="P221" s="171"/>
      <c r="Q221" s="171"/>
      <c r="R221" s="153"/>
      <c r="S221" s="151"/>
      <c r="T221" s="153"/>
      <c r="U221" s="151"/>
      <c r="V221" s="172"/>
      <c r="W221" s="104"/>
    </row>
    <row r="222" spans="2:23" s="1" customFormat="1" ht="13.5">
      <c r="B222" s="163"/>
      <c r="C222" s="293"/>
      <c r="D222" s="293"/>
      <c r="E222" s="307" t="s">
        <v>186</v>
      </c>
      <c r="F222" s="308">
        <v>0.05</v>
      </c>
      <c r="G222" s="309"/>
      <c r="H222" s="309"/>
      <c r="I222" s="309"/>
      <c r="J222" s="310"/>
      <c r="K222" s="340">
        <f>ROUNDUP(K220*1.05,0)</f>
        <v>34</v>
      </c>
      <c r="L222" s="96"/>
      <c r="M222" s="113"/>
      <c r="N222" s="289"/>
      <c r="O222" s="289"/>
      <c r="P222" s="289"/>
      <c r="Q222" s="289"/>
      <c r="R222" s="116"/>
      <c r="S222" s="148"/>
      <c r="T222" s="116"/>
      <c r="U222" s="148"/>
      <c r="V222" s="167"/>
      <c r="W222" s="79"/>
    </row>
    <row r="223" spans="2:59" s="1" customFormat="1" ht="13.5">
      <c r="B223" s="163"/>
      <c r="C223" s="128">
        <v>19</v>
      </c>
      <c r="D223" s="128" t="s">
        <v>97</v>
      </c>
      <c r="E223" s="129" t="s">
        <v>140</v>
      </c>
      <c r="F223" s="449" t="s">
        <v>141</v>
      </c>
      <c r="G223" s="450"/>
      <c r="H223" s="450"/>
      <c r="I223" s="450"/>
      <c r="J223" s="130" t="s">
        <v>117</v>
      </c>
      <c r="K223" s="292">
        <f>K228</f>
        <v>53.95</v>
      </c>
      <c r="L223" s="477"/>
      <c r="M223" s="477"/>
      <c r="N223" s="448">
        <f>ROUND(L223*K223,2)</f>
        <v>0</v>
      </c>
      <c r="O223" s="448"/>
      <c r="P223" s="448"/>
      <c r="Q223" s="448"/>
      <c r="R223" s="121">
        <v>0</v>
      </c>
      <c r="S223" s="120">
        <f>R223*K223</f>
        <v>0</v>
      </c>
      <c r="T223" s="121">
        <v>0</v>
      </c>
      <c r="U223" s="120">
        <f>T223*K223</f>
        <v>0</v>
      </c>
      <c r="V223" s="122"/>
      <c r="AL223" s="8" t="s">
        <v>101</v>
      </c>
      <c r="AN223" s="8" t="s">
        <v>97</v>
      </c>
      <c r="AO223" s="8" t="s">
        <v>76</v>
      </c>
      <c r="AS223" s="8" t="s">
        <v>96</v>
      </c>
      <c r="AY223" s="78" t="e">
        <f>IF(#REF!="základní",N223,0)</f>
        <v>#REF!</v>
      </c>
      <c r="AZ223" s="78" t="e">
        <f>IF(#REF!="snížená",N223,0)</f>
        <v>#REF!</v>
      </c>
      <c r="BA223" s="78" t="e">
        <f>IF(#REF!="zákl. přenesená",N223,0)</f>
        <v>#REF!</v>
      </c>
      <c r="BB223" s="78" t="e">
        <f>IF(#REF!="sníž. přenesená",N223,0)</f>
        <v>#REF!</v>
      </c>
      <c r="BC223" s="78" t="e">
        <f>IF(#REF!="nulová",N223,0)</f>
        <v>#REF!</v>
      </c>
      <c r="BD223" s="8" t="s">
        <v>14</v>
      </c>
      <c r="BE223" s="78">
        <f>ROUND(L223*K223,2)</f>
        <v>0</v>
      </c>
      <c r="BF223" s="8" t="s">
        <v>101</v>
      </c>
      <c r="BG223" s="8" t="s">
        <v>142</v>
      </c>
    </row>
    <row r="224" spans="2:22" s="1" customFormat="1" ht="26.25" customHeight="1">
      <c r="B224" s="154"/>
      <c r="C224" s="359">
        <v>20</v>
      </c>
      <c r="D224" s="359" t="s">
        <v>97</v>
      </c>
      <c r="E224" s="360" t="s">
        <v>194</v>
      </c>
      <c r="F224" s="479" t="s">
        <v>195</v>
      </c>
      <c r="G224" s="480"/>
      <c r="H224" s="480"/>
      <c r="I224" s="480"/>
      <c r="J224" s="361" t="s">
        <v>117</v>
      </c>
      <c r="K224" s="362">
        <f>K223</f>
        <v>53.95</v>
      </c>
      <c r="L224" s="474"/>
      <c r="M224" s="474"/>
      <c r="N224" s="475">
        <f>ROUND(L224*K224,2)</f>
        <v>0</v>
      </c>
      <c r="O224" s="475"/>
      <c r="P224" s="475"/>
      <c r="Q224" s="475"/>
      <c r="R224" s="132">
        <v>9E-05</v>
      </c>
      <c r="S224" s="131">
        <f>R224*K224</f>
        <v>0.0048555000000000004</v>
      </c>
      <c r="T224" s="132">
        <v>0</v>
      </c>
      <c r="U224" s="131">
        <f>T224*K224</f>
        <v>0</v>
      </c>
      <c r="V224" s="122"/>
    </row>
    <row r="225" spans="2:22" s="1" customFormat="1" ht="26.25" customHeight="1">
      <c r="B225" s="154"/>
      <c r="C225" s="351">
        <v>21</v>
      </c>
      <c r="D225" s="351" t="s">
        <v>97</v>
      </c>
      <c r="E225" s="352" t="s">
        <v>196</v>
      </c>
      <c r="F225" s="472" t="s">
        <v>197</v>
      </c>
      <c r="G225" s="473"/>
      <c r="H225" s="473"/>
      <c r="I225" s="473"/>
      <c r="J225" s="353" t="s">
        <v>117</v>
      </c>
      <c r="K225" s="354">
        <f>K224</f>
        <v>53.95</v>
      </c>
      <c r="L225" s="476"/>
      <c r="M225" s="476"/>
      <c r="N225" s="412">
        <f>ROUND(L225*K225,2)</f>
        <v>0</v>
      </c>
      <c r="O225" s="412"/>
      <c r="P225" s="412"/>
      <c r="Q225" s="412"/>
      <c r="R225" s="127">
        <v>0</v>
      </c>
      <c r="S225" s="126">
        <f>R225*K225</f>
        <v>0</v>
      </c>
      <c r="T225" s="127">
        <v>0</v>
      </c>
      <c r="U225" s="126">
        <f>T225*K225</f>
        <v>0</v>
      </c>
      <c r="V225" s="122"/>
    </row>
    <row r="226" spans="2:23" s="1" customFormat="1" ht="13.5">
      <c r="B226" s="163"/>
      <c r="C226" s="293"/>
      <c r="D226" s="293"/>
      <c r="E226" s="294" t="s">
        <v>241</v>
      </c>
      <c r="F226" s="295" t="s">
        <v>249</v>
      </c>
      <c r="G226" s="296"/>
      <c r="H226" s="296"/>
      <c r="I226" s="296"/>
      <c r="J226" s="296"/>
      <c r="K226" s="297">
        <f>2*1+2*6+(2*0.5)*1</f>
        <v>15</v>
      </c>
      <c r="L226" s="96"/>
      <c r="M226" s="113"/>
      <c r="N226" s="289"/>
      <c r="O226" s="289"/>
      <c r="P226" s="289"/>
      <c r="Q226" s="289"/>
      <c r="R226" s="116"/>
      <c r="S226" s="148"/>
      <c r="T226" s="116"/>
      <c r="U226" s="148"/>
      <c r="V226" s="167"/>
      <c r="W226" s="79"/>
    </row>
    <row r="227" spans="2:23" s="1" customFormat="1" ht="13.5">
      <c r="B227" s="163"/>
      <c r="C227" s="293"/>
      <c r="D227" s="293"/>
      <c r="E227" s="294" t="s">
        <v>243</v>
      </c>
      <c r="F227" s="295" t="s">
        <v>250</v>
      </c>
      <c r="G227" s="296"/>
      <c r="H227" s="296"/>
      <c r="I227" s="296"/>
      <c r="J227" s="296"/>
      <c r="K227" s="297">
        <f>3+2.9+3.45+7.5+7.5+4+4.6+(2*0.5)*6</f>
        <v>38.95</v>
      </c>
      <c r="L227" s="96"/>
      <c r="M227" s="113"/>
      <c r="N227" s="289"/>
      <c r="O227" s="289"/>
      <c r="P227" s="289"/>
      <c r="Q227" s="289"/>
      <c r="R227" s="116"/>
      <c r="S227" s="148"/>
      <c r="T227" s="116"/>
      <c r="U227" s="148"/>
      <c r="V227" s="167"/>
      <c r="W227" s="79"/>
    </row>
    <row r="228" spans="2:23" s="1" customFormat="1" ht="13.5">
      <c r="B228" s="163"/>
      <c r="C228" s="95"/>
      <c r="D228" s="95"/>
      <c r="E228" s="80"/>
      <c r="F228" s="81"/>
      <c r="G228" s="82"/>
      <c r="H228" s="82"/>
      <c r="I228" s="82"/>
      <c r="J228" s="83"/>
      <c r="K228" s="334">
        <f>SUM(K226:K227)</f>
        <v>53.95</v>
      </c>
      <c r="L228" s="96"/>
      <c r="M228" s="113"/>
      <c r="N228" s="289"/>
      <c r="O228" s="289"/>
      <c r="P228" s="289"/>
      <c r="Q228" s="289"/>
      <c r="R228" s="116"/>
      <c r="S228" s="148"/>
      <c r="T228" s="116"/>
      <c r="U228" s="148"/>
      <c r="V228" s="167"/>
      <c r="W228" s="79"/>
    </row>
    <row r="229" spans="2:22" s="1" customFormat="1" ht="13.5">
      <c r="B229" s="21"/>
      <c r="C229" s="311">
        <v>22</v>
      </c>
      <c r="D229" s="311" t="s">
        <v>97</v>
      </c>
      <c r="E229" s="312"/>
      <c r="F229" s="483" t="s">
        <v>231</v>
      </c>
      <c r="G229" s="484"/>
      <c r="H229" s="484"/>
      <c r="I229" s="484"/>
      <c r="J229" s="313" t="s">
        <v>232</v>
      </c>
      <c r="K229" s="341">
        <v>1</v>
      </c>
      <c r="L229" s="486"/>
      <c r="M229" s="486"/>
      <c r="N229" s="485">
        <f>ROUND(L229*K229,2)</f>
        <v>0</v>
      </c>
      <c r="O229" s="485"/>
      <c r="P229" s="485"/>
      <c r="Q229" s="485"/>
      <c r="R229" s="87">
        <v>0</v>
      </c>
      <c r="S229" s="133">
        <f>R229*K229</f>
        <v>0</v>
      </c>
      <c r="T229" s="87">
        <v>0</v>
      </c>
      <c r="U229" s="133">
        <f>T229*K229</f>
        <v>0</v>
      </c>
      <c r="V229" s="122"/>
    </row>
    <row r="230" spans="2:57" s="88" customFormat="1" ht="15">
      <c r="B230" s="161"/>
      <c r="C230" s="89"/>
      <c r="D230" s="90" t="s">
        <v>88</v>
      </c>
      <c r="E230" s="90"/>
      <c r="F230" s="90"/>
      <c r="G230" s="90"/>
      <c r="H230" s="90"/>
      <c r="I230" s="90"/>
      <c r="J230" s="90"/>
      <c r="K230" s="337"/>
      <c r="L230" s="90"/>
      <c r="M230" s="90"/>
      <c r="N230" s="414">
        <f>SUM(N231:Q239)</f>
        <v>0</v>
      </c>
      <c r="O230" s="415"/>
      <c r="P230" s="415"/>
      <c r="Q230" s="415"/>
      <c r="R230" s="91"/>
      <c r="S230" s="147">
        <f>SUM(S231:S239)</f>
        <v>0</v>
      </c>
      <c r="T230" s="91"/>
      <c r="U230" s="147">
        <f>SUM(U231:U239)</f>
        <v>0</v>
      </c>
      <c r="V230" s="162"/>
      <c r="AL230" s="92" t="s">
        <v>14</v>
      </c>
      <c r="AN230" s="93" t="s">
        <v>66</v>
      </c>
      <c r="AO230" s="93" t="s">
        <v>14</v>
      </c>
      <c r="AS230" s="92" t="s">
        <v>96</v>
      </c>
      <c r="BE230" s="94">
        <f>SUM(BE231:BE239)</f>
        <v>0</v>
      </c>
    </row>
    <row r="231" spans="2:59" s="1" customFormat="1" ht="13.5">
      <c r="B231" s="163"/>
      <c r="C231" s="128">
        <v>23</v>
      </c>
      <c r="D231" s="128" t="s">
        <v>97</v>
      </c>
      <c r="E231" s="129" t="s">
        <v>143</v>
      </c>
      <c r="F231" s="449" t="s">
        <v>144</v>
      </c>
      <c r="G231" s="450"/>
      <c r="H231" s="450"/>
      <c r="I231" s="450"/>
      <c r="J231" s="130" t="s">
        <v>145</v>
      </c>
      <c r="K231" s="292">
        <f>U97+U103+U111+U118</f>
        <v>77.75997500000001</v>
      </c>
      <c r="L231" s="451"/>
      <c r="M231" s="451"/>
      <c r="N231" s="452">
        <f aca="true" t="shared" si="0" ref="N231:N239">ROUND(L231*K231,2)</f>
        <v>0</v>
      </c>
      <c r="O231" s="452"/>
      <c r="P231" s="452"/>
      <c r="Q231" s="452"/>
      <c r="R231" s="173">
        <v>0</v>
      </c>
      <c r="S231" s="174">
        <f aca="true" t="shared" si="1" ref="S231:S239">R231*K231</f>
        <v>0</v>
      </c>
      <c r="T231" s="173">
        <v>0</v>
      </c>
      <c r="U231" s="174">
        <f aca="true" t="shared" si="2" ref="U231:U239">T231*K231</f>
        <v>0</v>
      </c>
      <c r="V231" s="122"/>
      <c r="AL231" s="8" t="s">
        <v>101</v>
      </c>
      <c r="AN231" s="8" t="s">
        <v>97</v>
      </c>
      <c r="AO231" s="8" t="s">
        <v>76</v>
      </c>
      <c r="AS231" s="8" t="s">
        <v>96</v>
      </c>
      <c r="AY231" s="78" t="e">
        <f>IF(#REF!="základní",N231,0)</f>
        <v>#REF!</v>
      </c>
      <c r="AZ231" s="78" t="e">
        <f>IF(#REF!="snížená",N231,0)</f>
        <v>#REF!</v>
      </c>
      <c r="BA231" s="78" t="e">
        <f>IF(#REF!="zákl. přenesená",N231,0)</f>
        <v>#REF!</v>
      </c>
      <c r="BB231" s="78" t="e">
        <f>IF(#REF!="sníž. přenesená",N231,0)</f>
        <v>#REF!</v>
      </c>
      <c r="BC231" s="78" t="e">
        <f>IF(#REF!="nulová",N231,0)</f>
        <v>#REF!</v>
      </c>
      <c r="BD231" s="8" t="s">
        <v>14</v>
      </c>
      <c r="BE231" s="78">
        <f aca="true" t="shared" si="3" ref="BE231:BE239">ROUND(L231*K231,2)</f>
        <v>0</v>
      </c>
      <c r="BF231" s="8" t="s">
        <v>101</v>
      </c>
      <c r="BG231" s="8" t="s">
        <v>146</v>
      </c>
    </row>
    <row r="232" spans="2:59" s="1" customFormat="1" ht="26.25" customHeight="1">
      <c r="B232" s="163"/>
      <c r="C232" s="175">
        <v>24</v>
      </c>
      <c r="D232" s="175" t="s">
        <v>97</v>
      </c>
      <c r="E232" s="176" t="s">
        <v>147</v>
      </c>
      <c r="F232" s="453" t="s">
        <v>148</v>
      </c>
      <c r="G232" s="454"/>
      <c r="H232" s="454"/>
      <c r="I232" s="454"/>
      <c r="J232" s="177" t="s">
        <v>145</v>
      </c>
      <c r="K232" s="291">
        <f>K231*12</f>
        <v>933.1197000000002</v>
      </c>
      <c r="L232" s="455"/>
      <c r="M232" s="455"/>
      <c r="N232" s="456">
        <f t="shared" si="0"/>
        <v>0</v>
      </c>
      <c r="O232" s="456"/>
      <c r="P232" s="456"/>
      <c r="Q232" s="456"/>
      <c r="R232" s="178">
        <v>0</v>
      </c>
      <c r="S232" s="179">
        <f t="shared" si="1"/>
        <v>0</v>
      </c>
      <c r="T232" s="178">
        <v>0</v>
      </c>
      <c r="U232" s="179">
        <f t="shared" si="2"/>
        <v>0</v>
      </c>
      <c r="V232" s="122"/>
      <c r="AL232" s="8" t="s">
        <v>101</v>
      </c>
      <c r="AN232" s="8" t="s">
        <v>97</v>
      </c>
      <c r="AO232" s="8" t="s">
        <v>76</v>
      </c>
      <c r="AS232" s="8" t="s">
        <v>96</v>
      </c>
      <c r="AY232" s="78" t="e">
        <f>IF(#REF!="základní",N232,0)</f>
        <v>#REF!</v>
      </c>
      <c r="AZ232" s="78" t="e">
        <f>IF(#REF!="snížená",N232,0)</f>
        <v>#REF!</v>
      </c>
      <c r="BA232" s="78" t="e">
        <f>IF(#REF!="zákl. přenesená",N232,0)</f>
        <v>#REF!</v>
      </c>
      <c r="BB232" s="78" t="e">
        <f>IF(#REF!="sníž. přenesená",N232,0)</f>
        <v>#REF!</v>
      </c>
      <c r="BC232" s="78" t="e">
        <f>IF(#REF!="nulová",N232,0)</f>
        <v>#REF!</v>
      </c>
      <c r="BD232" s="8" t="s">
        <v>14</v>
      </c>
      <c r="BE232" s="78">
        <f t="shared" si="3"/>
        <v>0</v>
      </c>
      <c r="BF232" s="8" t="s">
        <v>101</v>
      </c>
      <c r="BG232" s="8" t="s">
        <v>149</v>
      </c>
    </row>
    <row r="233" spans="2:59" s="1" customFormat="1" ht="13.5">
      <c r="B233" s="163"/>
      <c r="C233" s="175">
        <v>25</v>
      </c>
      <c r="D233" s="175" t="s">
        <v>97</v>
      </c>
      <c r="E233" s="176" t="s">
        <v>150</v>
      </c>
      <c r="F233" s="453" t="s">
        <v>151</v>
      </c>
      <c r="G233" s="454"/>
      <c r="H233" s="454"/>
      <c r="I233" s="454"/>
      <c r="J233" s="177" t="s">
        <v>145</v>
      </c>
      <c r="K233" s="291">
        <f>U108</f>
        <v>40.02</v>
      </c>
      <c r="L233" s="455"/>
      <c r="M233" s="455"/>
      <c r="N233" s="456">
        <f t="shared" si="0"/>
        <v>0</v>
      </c>
      <c r="O233" s="456"/>
      <c r="P233" s="456"/>
      <c r="Q233" s="456"/>
      <c r="R233" s="178">
        <v>0</v>
      </c>
      <c r="S233" s="179">
        <f t="shared" si="1"/>
        <v>0</v>
      </c>
      <c r="T233" s="178">
        <v>0</v>
      </c>
      <c r="U233" s="179">
        <f t="shared" si="2"/>
        <v>0</v>
      </c>
      <c r="V233" s="122"/>
      <c r="AL233" s="8" t="s">
        <v>101</v>
      </c>
      <c r="AN233" s="8" t="s">
        <v>97</v>
      </c>
      <c r="AO233" s="8" t="s">
        <v>76</v>
      </c>
      <c r="AS233" s="8" t="s">
        <v>96</v>
      </c>
      <c r="AY233" s="78" t="e">
        <f>IF(#REF!="základní",N233,0)</f>
        <v>#REF!</v>
      </c>
      <c r="AZ233" s="78" t="e">
        <f>IF(#REF!="snížená",N233,0)</f>
        <v>#REF!</v>
      </c>
      <c r="BA233" s="78" t="e">
        <f>IF(#REF!="zákl. přenesená",N233,0)</f>
        <v>#REF!</v>
      </c>
      <c r="BB233" s="78" t="e">
        <f>IF(#REF!="sníž. přenesená",N233,0)</f>
        <v>#REF!</v>
      </c>
      <c r="BC233" s="78" t="e">
        <f>IF(#REF!="nulová",N233,0)</f>
        <v>#REF!</v>
      </c>
      <c r="BD233" s="8" t="s">
        <v>14</v>
      </c>
      <c r="BE233" s="78">
        <f t="shared" si="3"/>
        <v>0</v>
      </c>
      <c r="BF233" s="8" t="s">
        <v>101</v>
      </c>
      <c r="BG233" s="8" t="s">
        <v>152</v>
      </c>
    </row>
    <row r="234" spans="2:59" s="1" customFormat="1" ht="26.25" customHeight="1">
      <c r="B234" s="163"/>
      <c r="C234" s="175">
        <v>26</v>
      </c>
      <c r="D234" s="175" t="s">
        <v>97</v>
      </c>
      <c r="E234" s="176" t="s">
        <v>153</v>
      </c>
      <c r="F234" s="453" t="s">
        <v>154</v>
      </c>
      <c r="G234" s="454"/>
      <c r="H234" s="454"/>
      <c r="I234" s="454"/>
      <c r="J234" s="177" t="s">
        <v>145</v>
      </c>
      <c r="K234" s="291">
        <f>K233*12</f>
        <v>480.24</v>
      </c>
      <c r="L234" s="455"/>
      <c r="M234" s="455"/>
      <c r="N234" s="456">
        <f t="shared" si="0"/>
        <v>0</v>
      </c>
      <c r="O234" s="456"/>
      <c r="P234" s="456"/>
      <c r="Q234" s="456"/>
      <c r="R234" s="178">
        <v>0</v>
      </c>
      <c r="S234" s="179">
        <f t="shared" si="1"/>
        <v>0</v>
      </c>
      <c r="T234" s="178">
        <v>0</v>
      </c>
      <c r="U234" s="179">
        <f t="shared" si="2"/>
        <v>0</v>
      </c>
      <c r="V234" s="122"/>
      <c r="AL234" s="8" t="s">
        <v>101</v>
      </c>
      <c r="AN234" s="8" t="s">
        <v>97</v>
      </c>
      <c r="AO234" s="8" t="s">
        <v>76</v>
      </c>
      <c r="AS234" s="8" t="s">
        <v>96</v>
      </c>
      <c r="AY234" s="78" t="e">
        <f>IF(#REF!="základní",N234,0)</f>
        <v>#REF!</v>
      </c>
      <c r="AZ234" s="78" t="e">
        <f>IF(#REF!="snížená",N234,0)</f>
        <v>#REF!</v>
      </c>
      <c r="BA234" s="78" t="e">
        <f>IF(#REF!="zákl. přenesená",N234,0)</f>
        <v>#REF!</v>
      </c>
      <c r="BB234" s="78" t="e">
        <f>IF(#REF!="sníž. přenesená",N234,0)</f>
        <v>#REF!</v>
      </c>
      <c r="BC234" s="78" t="e">
        <f>IF(#REF!="nulová",N234,0)</f>
        <v>#REF!</v>
      </c>
      <c r="BD234" s="8" t="s">
        <v>14</v>
      </c>
      <c r="BE234" s="78">
        <f t="shared" si="3"/>
        <v>0</v>
      </c>
      <c r="BF234" s="8" t="s">
        <v>101</v>
      </c>
      <c r="BG234" s="8" t="s">
        <v>155</v>
      </c>
    </row>
    <row r="235" spans="2:59" s="1" customFormat="1" ht="26.25" customHeight="1">
      <c r="B235" s="163"/>
      <c r="C235" s="175">
        <v>27</v>
      </c>
      <c r="D235" s="175" t="s">
        <v>97</v>
      </c>
      <c r="E235" s="176" t="s">
        <v>156</v>
      </c>
      <c r="F235" s="453" t="s">
        <v>157</v>
      </c>
      <c r="G235" s="454"/>
      <c r="H235" s="454"/>
      <c r="I235" s="454"/>
      <c r="J235" s="177" t="s">
        <v>145</v>
      </c>
      <c r="K235" s="291">
        <f>K231</f>
        <v>77.75997500000001</v>
      </c>
      <c r="L235" s="455"/>
      <c r="M235" s="455"/>
      <c r="N235" s="456">
        <f t="shared" si="0"/>
        <v>0</v>
      </c>
      <c r="O235" s="456"/>
      <c r="P235" s="456"/>
      <c r="Q235" s="456"/>
      <c r="R235" s="178">
        <v>0</v>
      </c>
      <c r="S235" s="179">
        <f t="shared" si="1"/>
        <v>0</v>
      </c>
      <c r="T235" s="178">
        <v>0</v>
      </c>
      <c r="U235" s="179">
        <f t="shared" si="2"/>
        <v>0</v>
      </c>
      <c r="V235" s="122"/>
      <c r="AL235" s="8" t="s">
        <v>101</v>
      </c>
      <c r="AN235" s="8" t="s">
        <v>97</v>
      </c>
      <c r="AO235" s="8" t="s">
        <v>76</v>
      </c>
      <c r="AS235" s="8" t="s">
        <v>96</v>
      </c>
      <c r="AY235" s="78" t="e">
        <f>IF(#REF!="základní",N235,0)</f>
        <v>#REF!</v>
      </c>
      <c r="AZ235" s="78" t="e">
        <f>IF(#REF!="snížená",N235,0)</f>
        <v>#REF!</v>
      </c>
      <c r="BA235" s="78" t="e">
        <f>IF(#REF!="zákl. přenesená",N235,0)</f>
        <v>#REF!</v>
      </c>
      <c r="BB235" s="78" t="e">
        <f>IF(#REF!="sníž. přenesená",N235,0)</f>
        <v>#REF!</v>
      </c>
      <c r="BC235" s="78" t="e">
        <f>IF(#REF!="nulová",N235,0)</f>
        <v>#REF!</v>
      </c>
      <c r="BD235" s="8" t="s">
        <v>14</v>
      </c>
      <c r="BE235" s="78">
        <f t="shared" si="3"/>
        <v>0</v>
      </c>
      <c r="BF235" s="8" t="s">
        <v>101</v>
      </c>
      <c r="BG235" s="8" t="s">
        <v>158</v>
      </c>
    </row>
    <row r="236" spans="2:59" s="1" customFormat="1" ht="26.25" customHeight="1">
      <c r="B236" s="163"/>
      <c r="C236" s="175">
        <v>28</v>
      </c>
      <c r="D236" s="175" t="s">
        <v>97</v>
      </c>
      <c r="E236" s="176" t="s">
        <v>159</v>
      </c>
      <c r="F236" s="453" t="s">
        <v>160</v>
      </c>
      <c r="G236" s="454"/>
      <c r="H236" s="454"/>
      <c r="I236" s="454"/>
      <c r="J236" s="177" t="s">
        <v>145</v>
      </c>
      <c r="K236" s="291">
        <f>K233</f>
        <v>40.02</v>
      </c>
      <c r="L236" s="455"/>
      <c r="M236" s="455"/>
      <c r="N236" s="456">
        <f t="shared" si="0"/>
        <v>0</v>
      </c>
      <c r="O236" s="456"/>
      <c r="P236" s="456"/>
      <c r="Q236" s="456"/>
      <c r="R236" s="178">
        <v>0</v>
      </c>
      <c r="S236" s="179">
        <f t="shared" si="1"/>
        <v>0</v>
      </c>
      <c r="T236" s="178">
        <v>0</v>
      </c>
      <c r="U236" s="179">
        <f t="shared" si="2"/>
        <v>0</v>
      </c>
      <c r="V236" s="122"/>
      <c r="AL236" s="8" t="s">
        <v>101</v>
      </c>
      <c r="AN236" s="8" t="s">
        <v>97</v>
      </c>
      <c r="AO236" s="8" t="s">
        <v>76</v>
      </c>
      <c r="AS236" s="8" t="s">
        <v>96</v>
      </c>
      <c r="AY236" s="78" t="e">
        <f>IF(#REF!="základní",N236,0)</f>
        <v>#REF!</v>
      </c>
      <c r="AZ236" s="78" t="e">
        <f>IF(#REF!="snížená",N236,0)</f>
        <v>#REF!</v>
      </c>
      <c r="BA236" s="78" t="e">
        <f>IF(#REF!="zákl. přenesená",N236,0)</f>
        <v>#REF!</v>
      </c>
      <c r="BB236" s="78" t="e">
        <f>IF(#REF!="sníž. přenesená",N236,0)</f>
        <v>#REF!</v>
      </c>
      <c r="BC236" s="78" t="e">
        <f>IF(#REF!="nulová",N236,0)</f>
        <v>#REF!</v>
      </c>
      <c r="BD236" s="8" t="s">
        <v>14</v>
      </c>
      <c r="BE236" s="78">
        <f t="shared" si="3"/>
        <v>0</v>
      </c>
      <c r="BF236" s="8" t="s">
        <v>101</v>
      </c>
      <c r="BG236" s="8" t="s">
        <v>161</v>
      </c>
    </row>
    <row r="237" spans="2:59" s="1" customFormat="1" ht="26.25" customHeight="1">
      <c r="B237" s="163"/>
      <c r="C237" s="175">
        <v>29</v>
      </c>
      <c r="D237" s="175" t="s">
        <v>97</v>
      </c>
      <c r="E237" s="176" t="s">
        <v>162</v>
      </c>
      <c r="F237" s="453" t="s">
        <v>163</v>
      </c>
      <c r="G237" s="454"/>
      <c r="H237" s="454"/>
      <c r="I237" s="454"/>
      <c r="J237" s="177" t="s">
        <v>145</v>
      </c>
      <c r="K237" s="291">
        <f>U97+U103+U118</f>
        <v>73.51100000000001</v>
      </c>
      <c r="L237" s="455"/>
      <c r="M237" s="455"/>
      <c r="N237" s="456">
        <f t="shared" si="0"/>
        <v>0</v>
      </c>
      <c r="O237" s="456"/>
      <c r="P237" s="456"/>
      <c r="Q237" s="456"/>
      <c r="R237" s="178">
        <v>0</v>
      </c>
      <c r="S237" s="179">
        <f t="shared" si="1"/>
        <v>0</v>
      </c>
      <c r="T237" s="178">
        <v>0</v>
      </c>
      <c r="U237" s="179">
        <f t="shared" si="2"/>
        <v>0</v>
      </c>
      <c r="V237" s="122"/>
      <c r="AL237" s="8" t="s">
        <v>101</v>
      </c>
      <c r="AN237" s="8" t="s">
        <v>97</v>
      </c>
      <c r="AO237" s="8" t="s">
        <v>76</v>
      </c>
      <c r="AS237" s="8" t="s">
        <v>96</v>
      </c>
      <c r="AY237" s="78" t="e">
        <f>IF(#REF!="základní",N237,0)</f>
        <v>#REF!</v>
      </c>
      <c r="AZ237" s="78" t="e">
        <f>IF(#REF!="snížená",N237,0)</f>
        <v>#REF!</v>
      </c>
      <c r="BA237" s="78" t="e">
        <f>IF(#REF!="zákl. přenesená",N237,0)</f>
        <v>#REF!</v>
      </c>
      <c r="BB237" s="78" t="e">
        <f>IF(#REF!="sníž. přenesená",N237,0)</f>
        <v>#REF!</v>
      </c>
      <c r="BC237" s="78" t="e">
        <f>IF(#REF!="nulová",N237,0)</f>
        <v>#REF!</v>
      </c>
      <c r="BD237" s="8" t="s">
        <v>14</v>
      </c>
      <c r="BE237" s="78">
        <f t="shared" si="3"/>
        <v>0</v>
      </c>
      <c r="BF237" s="8" t="s">
        <v>101</v>
      </c>
      <c r="BG237" s="8" t="s">
        <v>164</v>
      </c>
    </row>
    <row r="238" spans="2:59" s="1" customFormat="1" ht="26.25" customHeight="1">
      <c r="B238" s="163"/>
      <c r="C238" s="175">
        <v>30</v>
      </c>
      <c r="D238" s="175" t="s">
        <v>97</v>
      </c>
      <c r="E238" s="176" t="s">
        <v>165</v>
      </c>
      <c r="F238" s="453" t="s">
        <v>166</v>
      </c>
      <c r="G238" s="454"/>
      <c r="H238" s="454"/>
      <c r="I238" s="454"/>
      <c r="J238" s="177" t="s">
        <v>145</v>
      </c>
      <c r="K238" s="291">
        <f>U111</f>
        <v>4.248975</v>
      </c>
      <c r="L238" s="455"/>
      <c r="M238" s="455"/>
      <c r="N238" s="456">
        <f t="shared" si="0"/>
        <v>0</v>
      </c>
      <c r="O238" s="456"/>
      <c r="P238" s="456"/>
      <c r="Q238" s="456"/>
      <c r="R238" s="178">
        <v>0</v>
      </c>
      <c r="S238" s="179">
        <f t="shared" si="1"/>
        <v>0</v>
      </c>
      <c r="T238" s="178">
        <v>0</v>
      </c>
      <c r="U238" s="179">
        <f t="shared" si="2"/>
        <v>0</v>
      </c>
      <c r="V238" s="122"/>
      <c r="AL238" s="8" t="s">
        <v>101</v>
      </c>
      <c r="AN238" s="8" t="s">
        <v>97</v>
      </c>
      <c r="AO238" s="8" t="s">
        <v>76</v>
      </c>
      <c r="AS238" s="8" t="s">
        <v>96</v>
      </c>
      <c r="AY238" s="78" t="e">
        <f>IF(#REF!="základní",N238,0)</f>
        <v>#REF!</v>
      </c>
      <c r="AZ238" s="78" t="e">
        <f>IF(#REF!="snížená",N238,0)</f>
        <v>#REF!</v>
      </c>
      <c r="BA238" s="78" t="e">
        <f>IF(#REF!="zákl. přenesená",N238,0)</f>
        <v>#REF!</v>
      </c>
      <c r="BB238" s="78" t="e">
        <f>IF(#REF!="sníž. přenesená",N238,0)</f>
        <v>#REF!</v>
      </c>
      <c r="BC238" s="78" t="e">
        <f>IF(#REF!="nulová",N238,0)</f>
        <v>#REF!</v>
      </c>
      <c r="BD238" s="8" t="s">
        <v>14</v>
      </c>
      <c r="BE238" s="78">
        <f t="shared" si="3"/>
        <v>0</v>
      </c>
      <c r="BF238" s="8" t="s">
        <v>101</v>
      </c>
      <c r="BG238" s="8" t="s">
        <v>167</v>
      </c>
    </row>
    <row r="239" spans="2:59" s="1" customFormat="1" ht="26.25" customHeight="1">
      <c r="B239" s="163"/>
      <c r="C239" s="180">
        <v>31</v>
      </c>
      <c r="D239" s="180" t="s">
        <v>97</v>
      </c>
      <c r="E239" s="181" t="s">
        <v>168</v>
      </c>
      <c r="F239" s="462" t="s">
        <v>169</v>
      </c>
      <c r="G239" s="463"/>
      <c r="H239" s="463"/>
      <c r="I239" s="463"/>
      <c r="J239" s="182" t="s">
        <v>145</v>
      </c>
      <c r="K239" s="290">
        <f>U108</f>
        <v>40.02</v>
      </c>
      <c r="L239" s="464"/>
      <c r="M239" s="464"/>
      <c r="N239" s="465">
        <f t="shared" si="0"/>
        <v>0</v>
      </c>
      <c r="O239" s="465"/>
      <c r="P239" s="465"/>
      <c r="Q239" s="465"/>
      <c r="R239" s="183">
        <v>0</v>
      </c>
      <c r="S239" s="184">
        <f t="shared" si="1"/>
        <v>0</v>
      </c>
      <c r="T239" s="183">
        <v>0</v>
      </c>
      <c r="U239" s="184">
        <f t="shared" si="2"/>
        <v>0</v>
      </c>
      <c r="V239" s="122"/>
      <c r="AL239" s="8" t="s">
        <v>101</v>
      </c>
      <c r="AN239" s="8" t="s">
        <v>97</v>
      </c>
      <c r="AO239" s="8" t="s">
        <v>76</v>
      </c>
      <c r="AS239" s="8" t="s">
        <v>96</v>
      </c>
      <c r="AY239" s="78" t="e">
        <f>IF(#REF!="základní",N239,0)</f>
        <v>#REF!</v>
      </c>
      <c r="AZ239" s="78" t="e">
        <f>IF(#REF!="snížená",N239,0)</f>
        <v>#REF!</v>
      </c>
      <c r="BA239" s="78" t="e">
        <f>IF(#REF!="zákl. přenesená",N239,0)</f>
        <v>#REF!</v>
      </c>
      <c r="BB239" s="78" t="e">
        <f>IF(#REF!="sníž. přenesená",N239,0)</f>
        <v>#REF!</v>
      </c>
      <c r="BC239" s="78" t="e">
        <f>IF(#REF!="nulová",N239,0)</f>
        <v>#REF!</v>
      </c>
      <c r="BD239" s="8" t="s">
        <v>14</v>
      </c>
      <c r="BE239" s="78">
        <f t="shared" si="3"/>
        <v>0</v>
      </c>
      <c r="BF239" s="8" t="s">
        <v>101</v>
      </c>
      <c r="BG239" s="8" t="s">
        <v>170</v>
      </c>
    </row>
    <row r="240" spans="2:23" s="258" customFormat="1" ht="15">
      <c r="B240" s="257"/>
      <c r="D240" s="259" t="s">
        <v>233</v>
      </c>
      <c r="E240" s="259"/>
      <c r="F240" s="259"/>
      <c r="G240" s="259"/>
      <c r="H240" s="259"/>
      <c r="I240" s="259"/>
      <c r="J240" s="259"/>
      <c r="K240" s="342"/>
      <c r="L240" s="259"/>
      <c r="N240" s="414">
        <f>SUM(N241:Q242)</f>
        <v>0</v>
      </c>
      <c r="O240" s="415"/>
      <c r="P240" s="415"/>
      <c r="Q240" s="415"/>
      <c r="S240" s="260">
        <f>SUM(S241:S242)</f>
        <v>0</v>
      </c>
      <c r="U240" s="260">
        <f>SUM(U241:U242)</f>
        <v>0</v>
      </c>
      <c r="V240" s="122"/>
      <c r="W240" s="1"/>
    </row>
    <row r="241" spans="2:22" s="1" customFormat="1" ht="26.25" customHeight="1">
      <c r="B241" s="21"/>
      <c r="C241" s="117">
        <v>32</v>
      </c>
      <c r="D241" s="117" t="s">
        <v>97</v>
      </c>
      <c r="E241" s="118" t="s">
        <v>234</v>
      </c>
      <c r="F241" s="406" t="s">
        <v>235</v>
      </c>
      <c r="G241" s="407"/>
      <c r="H241" s="407"/>
      <c r="I241" s="407"/>
      <c r="J241" s="119" t="s">
        <v>145</v>
      </c>
      <c r="K241" s="343">
        <f>S95</f>
        <v>75.81106175000001</v>
      </c>
      <c r="L241" s="411"/>
      <c r="M241" s="411"/>
      <c r="N241" s="413">
        <f>ROUND(L241*K241,2)</f>
        <v>0</v>
      </c>
      <c r="O241" s="413"/>
      <c r="P241" s="413"/>
      <c r="Q241" s="413"/>
      <c r="R241" s="121">
        <v>0</v>
      </c>
      <c r="S241" s="121">
        <v>0</v>
      </c>
      <c r="T241" s="121">
        <v>0</v>
      </c>
      <c r="U241" s="121">
        <f>T241*K241</f>
        <v>0</v>
      </c>
      <c r="V241" s="122"/>
    </row>
    <row r="242" spans="2:22" s="1" customFormat="1" ht="26.25" customHeight="1">
      <c r="B242" s="21"/>
      <c r="C242" s="123">
        <v>33</v>
      </c>
      <c r="D242" s="123" t="s">
        <v>97</v>
      </c>
      <c r="E242" s="124" t="s">
        <v>236</v>
      </c>
      <c r="F242" s="408" t="s">
        <v>237</v>
      </c>
      <c r="G242" s="409"/>
      <c r="H242" s="409"/>
      <c r="I242" s="409"/>
      <c r="J242" s="125" t="s">
        <v>145</v>
      </c>
      <c r="K242" s="344">
        <f>K241</f>
        <v>75.81106175000001</v>
      </c>
      <c r="L242" s="410"/>
      <c r="M242" s="410"/>
      <c r="N242" s="412">
        <f>ROUND(L242*K242,2)</f>
        <v>0</v>
      </c>
      <c r="O242" s="412"/>
      <c r="P242" s="412"/>
      <c r="Q242" s="412"/>
      <c r="R242" s="127">
        <v>0</v>
      </c>
      <c r="S242" s="127">
        <v>0</v>
      </c>
      <c r="T242" s="127">
        <v>0</v>
      </c>
      <c r="U242" s="127">
        <f>T242*K242</f>
        <v>0</v>
      </c>
      <c r="V242" s="23"/>
    </row>
    <row r="243" spans="2:23" s="1" customFormat="1" ht="6.75" customHeight="1">
      <c r="B243" s="44"/>
      <c r="C243" s="45"/>
      <c r="D243" s="45"/>
      <c r="E243" s="45"/>
      <c r="F243" s="45"/>
      <c r="G243" s="45"/>
      <c r="H243" s="45"/>
      <c r="I243" s="45"/>
      <c r="J243" s="45"/>
      <c r="K243" s="322"/>
      <c r="L243" s="45"/>
      <c r="M243" s="45"/>
      <c r="N243" s="143"/>
      <c r="O243" s="143"/>
      <c r="P243" s="143"/>
      <c r="Q243" s="143"/>
      <c r="R243" s="143"/>
      <c r="S243" s="143"/>
      <c r="T243" s="143"/>
      <c r="U243" s="143"/>
      <c r="V243" s="262"/>
      <c r="W243" s="261"/>
    </row>
    <row r="244" spans="18:22" ht="13.5">
      <c r="R244" s="145"/>
      <c r="S244" s="145"/>
      <c r="T244" s="145"/>
      <c r="U244" s="145"/>
      <c r="V244" s="145"/>
    </row>
  </sheetData>
  <sheetProtection/>
  <mergeCells count="154">
    <mergeCell ref="F84:T85"/>
    <mergeCell ref="F57:T58"/>
    <mergeCell ref="F229:I229"/>
    <mergeCell ref="N229:Q229"/>
    <mergeCell ref="L229:M229"/>
    <mergeCell ref="C3:U3"/>
    <mergeCell ref="O8:R8"/>
    <mergeCell ref="K92:K93"/>
    <mergeCell ref="R92:S92"/>
    <mergeCell ref="T92:U92"/>
    <mergeCell ref="N93:Q93"/>
    <mergeCell ref="L93:M93"/>
    <mergeCell ref="L92:Q92"/>
    <mergeCell ref="F5:T6"/>
    <mergeCell ref="N147:Q147"/>
    <mergeCell ref="F224:I224"/>
    <mergeCell ref="F180:I180"/>
    <mergeCell ref="L180:M180"/>
    <mergeCell ref="N180:Q180"/>
    <mergeCell ref="N122:Q122"/>
    <mergeCell ref="F225:I225"/>
    <mergeCell ref="L224:M224"/>
    <mergeCell ref="N224:Q224"/>
    <mergeCell ref="N225:Q225"/>
    <mergeCell ref="L225:M225"/>
    <mergeCell ref="F217:I217"/>
    <mergeCell ref="L217:M217"/>
    <mergeCell ref="N217:Q217"/>
    <mergeCell ref="F223:I223"/>
    <mergeCell ref="L223:M223"/>
    <mergeCell ref="F147:I147"/>
    <mergeCell ref="L147:M147"/>
    <mergeCell ref="F126:I126"/>
    <mergeCell ref="F127:I127"/>
    <mergeCell ref="N127:Q127"/>
    <mergeCell ref="L127:M127"/>
    <mergeCell ref="N126:Q126"/>
    <mergeCell ref="L126:M126"/>
    <mergeCell ref="R1:W1"/>
    <mergeCell ref="F190:I190"/>
    <mergeCell ref="L190:M190"/>
    <mergeCell ref="N190:Q190"/>
    <mergeCell ref="F239:I239"/>
    <mergeCell ref="L239:M239"/>
    <mergeCell ref="N239:Q239"/>
    <mergeCell ref="N95:Q95"/>
    <mergeCell ref="N96:Q96"/>
    <mergeCell ref="N230:Q23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N223:Q223"/>
    <mergeCell ref="F211:I211"/>
    <mergeCell ref="L211:M211"/>
    <mergeCell ref="N211:Q211"/>
    <mergeCell ref="F202:I202"/>
    <mergeCell ref="L202:M202"/>
    <mergeCell ref="N202:Q202"/>
    <mergeCell ref="N201:Q201"/>
    <mergeCell ref="F207:I207"/>
    <mergeCell ref="L207:M207"/>
    <mergeCell ref="N207:Q207"/>
    <mergeCell ref="F165:I165"/>
    <mergeCell ref="L165:M165"/>
    <mergeCell ref="N165:Q165"/>
    <mergeCell ref="C92:C93"/>
    <mergeCell ref="D92:D93"/>
    <mergeCell ref="E92:E93"/>
    <mergeCell ref="F92:I93"/>
    <mergeCell ref="J92:J93"/>
    <mergeCell ref="F123:I123"/>
    <mergeCell ref="F97:I97"/>
    <mergeCell ref="L123:M123"/>
    <mergeCell ref="N123:Q123"/>
    <mergeCell ref="F131:I131"/>
    <mergeCell ref="L131:M131"/>
    <mergeCell ref="N131:Q131"/>
    <mergeCell ref="F115:I115"/>
    <mergeCell ref="L115:M115"/>
    <mergeCell ref="N115:Q115"/>
    <mergeCell ref="F118:I118"/>
    <mergeCell ref="L118:M118"/>
    <mergeCell ref="N118:Q118"/>
    <mergeCell ref="F108:I108"/>
    <mergeCell ref="L108:M108"/>
    <mergeCell ref="N108:Q108"/>
    <mergeCell ref="F111:I111"/>
    <mergeCell ref="L111:M111"/>
    <mergeCell ref="N111:Q111"/>
    <mergeCell ref="L97:M97"/>
    <mergeCell ref="N97:Q97"/>
    <mergeCell ref="F103:I103"/>
    <mergeCell ref="L103:M103"/>
    <mergeCell ref="N103:Q103"/>
    <mergeCell ref="C55:U55"/>
    <mergeCell ref="M87:P87"/>
    <mergeCell ref="M89:Q89"/>
    <mergeCell ref="M90:Q90"/>
    <mergeCell ref="R68:U68"/>
    <mergeCell ref="R69:U69"/>
    <mergeCell ref="R70:U70"/>
    <mergeCell ref="R71:U71"/>
    <mergeCell ref="R74:U74"/>
    <mergeCell ref="C82:U82"/>
    <mergeCell ref="M60:P60"/>
    <mergeCell ref="P76:U76"/>
    <mergeCell ref="M62:Q62"/>
    <mergeCell ref="M63:Q63"/>
    <mergeCell ref="C65:G65"/>
    <mergeCell ref="R65:U65"/>
    <mergeCell ref="R67:U67"/>
    <mergeCell ref="O27:S27"/>
    <mergeCell ref="P22:S22"/>
    <mergeCell ref="H24:J24"/>
    <mergeCell ref="P24:S24"/>
    <mergeCell ref="H25:J25"/>
    <mergeCell ref="P25:S25"/>
    <mergeCell ref="C1:Q1"/>
    <mergeCell ref="O11:P11"/>
    <mergeCell ref="O12:P12"/>
    <mergeCell ref="O10:P10"/>
    <mergeCell ref="O13:P13"/>
    <mergeCell ref="E16:L16"/>
    <mergeCell ref="P19:S19"/>
    <mergeCell ref="F241:I241"/>
    <mergeCell ref="F242:I242"/>
    <mergeCell ref="L242:M242"/>
    <mergeCell ref="L241:M241"/>
    <mergeCell ref="N242:Q242"/>
    <mergeCell ref="N241:Q241"/>
    <mergeCell ref="N240:Q240"/>
    <mergeCell ref="R72:U72"/>
    <mergeCell ref="P20:S20"/>
  </mergeCells>
  <printOptions/>
  <pageMargins left="0.3937007874015748" right="0.1968503937007874" top="0.3937007874015748" bottom="0.3937007874015748" header="0" footer="0.1968503937007874"/>
  <pageSetup errors="blank" horizontalDpi="600" verticalDpi="600" orientation="portrait" scale="8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2020-03-04T07:56:12Z</cp:lastPrinted>
  <dcterms:created xsi:type="dcterms:W3CDTF">2020-02-07T11:35:55Z</dcterms:created>
  <dcterms:modified xsi:type="dcterms:W3CDTF">2020-04-15T14:35:23Z</dcterms:modified>
  <cp:category/>
  <cp:version/>
  <cp:contentType/>
  <cp:contentStatus/>
</cp:coreProperties>
</file>