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9080" yWindow="65416" windowWidth="29040" windowHeight="15840" activeTab="0"/>
  </bookViews>
  <sheets>
    <sheet name="Rekapitulace stavby" sheetId="1" r:id="rId1"/>
    <sheet name="D.1.4.1-ZTI" sheetId="5" r:id="rId2"/>
  </sheets>
  <definedNames>
    <definedName name="_xlnm._FilterDatabase" localSheetId="1" hidden="1">'D.1.4.1-ZTI'!$C$123:$K$435</definedName>
    <definedName name="_xlnm.Print_Area" localSheetId="1">'D.1.4.1-ZTI'!$C$4:$J$76,'D.1.4.1-ZTI'!$C$82:$J$105,'D.1.4.1-ZTI'!$C$111:$K$435</definedName>
    <definedName name="_xlnm.Print_Area" localSheetId="0">'Rekapitulace stavby'!$D$4:$AO$76,'Rekapitulace stavby'!$C$82:$AQ$99</definedName>
    <definedName name="_xlnm.Print_Titles" localSheetId="0">'Rekapitulace stavby'!$92:$92</definedName>
    <definedName name="_xlnm.Print_Titles" localSheetId="1">'D.1.4.1-ZTI'!$123:$123</definedName>
  </definedNames>
  <calcPr calcId="162913"/>
</workbook>
</file>

<file path=xl/sharedStrings.xml><?xml version="1.0" encoding="utf-8"?>
<sst xmlns="http://schemas.openxmlformats.org/spreadsheetml/2006/main" count="3193" uniqueCount="781">
  <si>
    <t>Export Komplet</t>
  </si>
  <si>
    <t/>
  </si>
  <si>
    <t>2.0</t>
  </si>
  <si>
    <t>ZAMOK</t>
  </si>
  <si>
    <t>False</t>
  </si>
  <si>
    <t>{6b6db459-edb1-4b9b-b2e7-47a0305dc187}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</si>
  <si>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</si>
  <si>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</si>
  <si>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</si>
  <si>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</si>
  <si>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</si>
  <si>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</si>
  <si>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</si>
  <si>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</si>
  <si>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</si>
  <si>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</si>
  <si>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</si>
  <si>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</si>
  <si>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</si>
  <si>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</si>
  <si>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</si>
  <si>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</si>
  <si>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</si>
  <si>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Dle výběrového řízení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</si>
  <si>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</si>
  <si>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</si>
  <si>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</si>
  <si>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</si>
  <si>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</si>
  <si>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</si>
  <si>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</si>
  <si>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</si>
  <si>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</si>
  <si>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</si>
  <si>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</si>
  <si>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</si>
  <si>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</si>
  <si>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</si>
  <si>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</si>
  <si>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</si>
  <si>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</si>
  <si>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</si>
  <si>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</si>
  <si>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</si>
  <si>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</si>
  <si>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</si>
  <si>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</si>
  <si>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</si>
  <si>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</si>
  <si>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</si>
  <si>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</si>
  <si>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</si>
  <si>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</si>
  <si>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</si>
  <si>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</si>
  <si>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</si>
  <si>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</si>
  <si>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</si>
  <si>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</si>
  <si>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</si>
  <si>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</si>
  <si>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</si>
  <si>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</si>
  <si>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</si>
  <si>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</si>
  <si>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</si>
  <si>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</si>
  <si>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</si>
  <si>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</si>
  <si>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</si>
  <si>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</si>
  <si>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</si>
  <si>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STA</t>
  </si>
  <si>
    <t>1</t>
  </si>
  <si>
    <t>{1d5c50d6-f6ec-4102-a077-d94e9439c27c}</t>
  </si>
  <si>
    <t>2</t>
  </si>
  <si>
    <t>{b7f37508-9c45-45e5-8371-12b07877e5bc}</t>
  </si>
  <si>
    <t>{8b281b36-445f-4ea3-a13c-2da964365ec8}</t>
  </si>
  <si>
    <t>D.000.050</t>
  </si>
  <si>
    <t>Zdravotně technické instalace</t>
  </si>
  <si>
    <t>{b8a75a8d-88c8-417a-b263-53213dc160ea}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</si>
  <si>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</si>
  <si>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</si>
  <si>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</si>
  <si>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</si>
  <si>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</si>
  <si>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</si>
  <si>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</si>
  <si>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</si>
  <si>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722 - Zdravotechnika - vnitřní vodovod</t>
  </si>
  <si>
    <t xml:space="preserve">    799 -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</si>
  <si>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</si>
  <si>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</si>
  <si>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</si>
  <si>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</si>
  <si>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</si>
  <si>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</si>
  <si>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</si>
  <si>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</si>
  <si>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</si>
  <si>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</si>
  <si>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</si>
  <si>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</si>
  <si>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</si>
  <si>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ROZPOCET</t>
  </si>
  <si>
    <t>K</t>
  </si>
  <si>
    <t>4</t>
  </si>
  <si>
    <t>PP</t>
  </si>
  <si>
    <t>t</t>
  </si>
  <si>
    <t>8</t>
  </si>
  <si>
    <t>M</t>
  </si>
  <si>
    <t>kus</t>
  </si>
  <si>
    <t>m</t>
  </si>
  <si>
    <t>64</t>
  </si>
  <si>
    <t>16</t>
  </si>
  <si>
    <t>32</t>
  </si>
  <si>
    <t>PSV</t>
  </si>
  <si>
    <t>Práce a dodávky PSV</t>
  </si>
  <si>
    <t>722</t>
  </si>
  <si>
    <t>Zdravotechnika - vnitřní vodovod</t>
  </si>
  <si>
    <t>722239102</t>
  </si>
  <si>
    <t>Montáž armatur vodovodních se dvěma závity G 3/4</t>
  </si>
  <si>
    <t>Armatury se dvěma závity montáž vodovodních armatur se dvěma závity ostatních typů G 3/4</t>
  </si>
  <si>
    <t>722232062</t>
  </si>
  <si>
    <t>Kohout kulový přímý G 3/4 PN 42 do 185°C vnitřní závit s vypouštěním</t>
  </si>
  <si>
    <t>Armatury se dvěma závity kulové kohouty PN 42 do 185 °C přímé vnitřní závit s vypouštěním G 3/4</t>
  </si>
  <si>
    <t>799</t>
  </si>
  <si>
    <t>Ostatní</t>
  </si>
  <si>
    <t>R799.01</t>
  </si>
  <si>
    <t>Dokumentace skutečného provedení</t>
  </si>
  <si>
    <t>soubor</t>
  </si>
  <si>
    <t>P</t>
  </si>
  <si>
    <t>D.000.050 - Zdravotně technické instalace</t>
  </si>
  <si>
    <t>713 - Izolace tepelné</t>
  </si>
  <si>
    <t xml:space="preserve">    721 - Zdravotechnika - vnitřní kanalizace</t>
  </si>
  <si>
    <t xml:space="preserve">    725 - Zdravotechnika - zařizovací předměty</t>
  </si>
  <si>
    <t>OST - Ostatní</t>
  </si>
  <si>
    <t>713</t>
  </si>
  <si>
    <t>Izolace tepelné</t>
  </si>
  <si>
    <t>713463211</t>
  </si>
  <si>
    <t>Montáž izolace tepelné potrubí potrubními pouzdry s Al fólií staženými Al páskou 1x D do 50 mm</t>
  </si>
  <si>
    <t>2119448861</t>
  </si>
  <si>
    <t>Montáž izolace tepelné potrubí a ohybů tvarovkami nebo deskami potrubními pouzdry s povrchovou úpravou hliníkovou fólií (izolační materiál ve specifikaci) přelepenými samolepící hliníkovou páskou potrubí D do 50 mm jednovrstvá</t>
  </si>
  <si>
    <t>631548360</t>
  </si>
  <si>
    <t>1065780387</t>
  </si>
  <si>
    <t>631548370</t>
  </si>
  <si>
    <t>1388065614</t>
  </si>
  <si>
    <t>631548380</t>
  </si>
  <si>
    <t>-2043502004</t>
  </si>
  <si>
    <t>631548630</t>
  </si>
  <si>
    <t>-1252611132</t>
  </si>
  <si>
    <t>631548650</t>
  </si>
  <si>
    <t>1195900275</t>
  </si>
  <si>
    <t>713463212</t>
  </si>
  <si>
    <t>Montáž izolace tepelné potrubí potrubními pouzdry s Al fólií staženými Al páskou 1x D do 100 mm</t>
  </si>
  <si>
    <t>908795834</t>
  </si>
  <si>
    <t>Montáž izolace tepelné potrubí a ohybů tvarovkami nebo deskami  potrubními pouzdry s povrchovou úpravou hliníkovou fólií (izolační materiál ve specifikaci) přelepenými samolepící hliníkovou páskou potrubí jednovrstvá D přes 50 do 100 mm</t>
  </si>
  <si>
    <t>63154019</t>
  </si>
  <si>
    <t>-842558957</t>
  </si>
  <si>
    <t>1826504933</t>
  </si>
  <si>
    <t>722181241</t>
  </si>
  <si>
    <t>Ochrana vodovodního potrubí přilepenými tepelně izolačními trubicemi z PE tl do 20 mm DN do 22 mm</t>
  </si>
  <si>
    <t>-335517905</t>
  </si>
  <si>
    <t>Ochrana potrubí tepelně izolačními trubicemi z pěnového polyetylenu PE přilepenými v příčných a podélných spojích, tloušťky izolace přes 15 do 20 mm, vnitřního průměru izolace DN do 22 mm</t>
  </si>
  <si>
    <t>722181242</t>
  </si>
  <si>
    <t>Ochrana vodovodního potrubí přilepenými tepelně izolačními trubicemi z PE tl do 20 mm DN do 42 mm</t>
  </si>
  <si>
    <t>-920985892</t>
  </si>
  <si>
    <t>Ochrana potrubí tepelně izolačními trubicemi z pěnového polyetylenu PE přilepenými v příčných a podélných spojích, tloušťky izolace přes 15 do 20 mm, vnitřního průměru izolace DN přes 22 do 42 mm</t>
  </si>
  <si>
    <t>722181243</t>
  </si>
  <si>
    <t>Ochrana vodovodního potrubí přilepenými tepelně izolačními trubicemi z PE tl do 20 mm DN do 62 mm</t>
  </si>
  <si>
    <t>-357001105</t>
  </si>
  <si>
    <t>Ochrana potrubí tepelně izolačními trubicemi z pěnového polyetylenu PE přilepenými v příčných a podélných spojích, tloušťky izolace přes 15 do 20 mm, vnitřního průměru izolace DN přes 42 do 62mm</t>
  </si>
  <si>
    <t>722181244</t>
  </si>
  <si>
    <t>Ochrana vodovodního potrubí přilepenými termoizolačními trubicemi z PE tl do 20 mm DN do 89 mm</t>
  </si>
  <si>
    <t>1928622170</t>
  </si>
  <si>
    <t>Ochrana potrubí  termoizolačními trubicemi z pěnového polyetylenu PE přilepenými v příčných a podélných spojích, tloušťky izolace přes 13 do 20 mm, vnitřního průměru izolace DN přes 63 do 89 mm</t>
  </si>
  <si>
    <t>722181245</t>
  </si>
  <si>
    <t>Ochrana vodovodního potrubí přilepenými termoizolačními trubicemi z PE tl do 20 mm DN do 110 mm</t>
  </si>
  <si>
    <t>186263998</t>
  </si>
  <si>
    <t>Ochrana potrubí  termoizolačními trubicemi z pěnového polyetylenu PE přilepenými v příčných a podélných spojích, tloušťky izolace přes 13 do 20 mm, vnitřního průměru izolace DN přes 89 do 110 mm</t>
  </si>
  <si>
    <t>-455148609</t>
  </si>
  <si>
    <t>998713101</t>
  </si>
  <si>
    <t>Přesun hmot tonážní pro izolace tepelné v objektech v do 6 m</t>
  </si>
  <si>
    <t>-1120075271</t>
  </si>
  <si>
    <t>Přesun hmot pro izolace tepelné stanovený z hmotnosti přesunovaného materiálu vodorovná dopravní vzdálenost do 50 m v objektech výšky do 6 m</t>
  </si>
  <si>
    <t>721</t>
  </si>
  <si>
    <t>Zdravotechnika - vnitřní kanalizace</t>
  </si>
  <si>
    <t>721174043</t>
  </si>
  <si>
    <t>Potrubí kanalizační z PP připojovací DN 50</t>
  </si>
  <si>
    <t>-913805992</t>
  </si>
  <si>
    <t>Potrubí z plastových trub polypropylenové připojovací DN 50</t>
  </si>
  <si>
    <t>721174044</t>
  </si>
  <si>
    <t>Potrubí kanalizační z PP připojovací DN 70</t>
  </si>
  <si>
    <t>-1079447665</t>
  </si>
  <si>
    <t>Potrubí z plastových trub polypropylenové připojovací DN 70</t>
  </si>
  <si>
    <t>721174045</t>
  </si>
  <si>
    <t>Potrubí kanalizační z PP připojovací DN 100</t>
  </si>
  <si>
    <t>-1971368540</t>
  </si>
  <si>
    <t>Potrubí z plastových trub polypropylenové připojovací DN 100</t>
  </si>
  <si>
    <t>721174024</t>
  </si>
  <si>
    <t>Potrubí kanalizační z PP odpadní DN 70</t>
  </si>
  <si>
    <t>-1842251838</t>
  </si>
  <si>
    <t>Potrubí z plastových trub polypropylenové odpadní (svislé) DN 70</t>
  </si>
  <si>
    <t>721174025</t>
  </si>
  <si>
    <t>Potrubí kanalizační z PP odpadní DN 100</t>
  </si>
  <si>
    <t>193785508</t>
  </si>
  <si>
    <t>Potrubí z plastových trub polypropylenové odpadní (svislé) DN 100</t>
  </si>
  <si>
    <t>-1598471358</t>
  </si>
  <si>
    <t>354467534</t>
  </si>
  <si>
    <t>-1006871213</t>
  </si>
  <si>
    <t>-1868422158</t>
  </si>
  <si>
    <t>-1476901507</t>
  </si>
  <si>
    <t>-2088683468</t>
  </si>
  <si>
    <t>-1440670742</t>
  </si>
  <si>
    <t>VV</t>
  </si>
  <si>
    <t>721174056</t>
  </si>
  <si>
    <t>Potrubí kanalizační z PP dešťové DN 125</t>
  </si>
  <si>
    <t>-728799770</t>
  </si>
  <si>
    <t>Potrubí z plastových trub polypropylenové dešťové DN 125</t>
  </si>
  <si>
    <t>721174057</t>
  </si>
  <si>
    <t>Potrubí kanalizační z PP dešťové DN 160</t>
  </si>
  <si>
    <t>-307209695</t>
  </si>
  <si>
    <t>Potrubí z plastových trub polypropylenové dešťové DN 160</t>
  </si>
  <si>
    <t>-1774692672</t>
  </si>
  <si>
    <t>-279618556</t>
  </si>
  <si>
    <t>582189</t>
  </si>
  <si>
    <t>1758597479</t>
  </si>
  <si>
    <t>1276027140</t>
  </si>
  <si>
    <t>1703152979</t>
  </si>
  <si>
    <t>721194105</t>
  </si>
  <si>
    <t>Vyvedení a upevnění odpadních výpustek DN 50</t>
  </si>
  <si>
    <t>-1850413228</t>
  </si>
  <si>
    <t>721194109</t>
  </si>
  <si>
    <t>Vyvedení a upevnění odpadních výpustek DN 100</t>
  </si>
  <si>
    <t>404652858</t>
  </si>
  <si>
    <t>721211913</t>
  </si>
  <si>
    <t>Montáž vpustí podlahových DN 110</t>
  </si>
  <si>
    <t>869092720</t>
  </si>
  <si>
    <t>Podlahové vpusti montáž podlahových vpustí DN 110</t>
  </si>
  <si>
    <t>R5161756.HLE</t>
  </si>
  <si>
    <t>Podlahová vpust DN50/75/110 se svislým odtokem s pevnou izolační přírubou, ZU mokrá + suchá, plast 147x147mm/ nerez 138x138mm, sítko</t>
  </si>
  <si>
    <t>-1709403964</t>
  </si>
  <si>
    <t>721226512</t>
  </si>
  <si>
    <t>Zápachová uzávěrka podomítková pro pračku a myčku DN 50</t>
  </si>
  <si>
    <t>966404580</t>
  </si>
  <si>
    <t>Zápachové uzávěrky podomítkové (Pe) s krycí deskou pro pračku a myčku DN 50</t>
  </si>
  <si>
    <t>R725865501.HLE</t>
  </si>
  <si>
    <t>Kalich pro úkapy se zápachovou uzávěrkou mokrou a suchou</t>
  </si>
  <si>
    <t>-1856416056</t>
  </si>
  <si>
    <t>R725865502.HLE2</t>
  </si>
  <si>
    <t>Kondenzační sifon pro VZT DN40 s vodorovným odtokem a svislým nebo vodorovným připojením, s mokrou a suchou  zápachou uzávěrkou a čistící vložkou.</t>
  </si>
  <si>
    <t>1072333568</t>
  </si>
  <si>
    <t>1735316292</t>
  </si>
  <si>
    <t>721290111</t>
  </si>
  <si>
    <t>Zkouška těsnosti potrubí kanalizace vodou do DN 125</t>
  </si>
  <si>
    <t>545011860</t>
  </si>
  <si>
    <t>Zkouška těsnosti kanalizace  v objektech vodou do DN 125</t>
  </si>
  <si>
    <t>721290112</t>
  </si>
  <si>
    <t>Zkouška těsnosti potrubí kanalizace vodou do DN 200</t>
  </si>
  <si>
    <t>Zkouška těsnosti kanalizace  v objektech vodou DN 150 nebo DN 200</t>
  </si>
  <si>
    <t>998721101</t>
  </si>
  <si>
    <t>Přesun hmot tonážní pro vnitřní kanalizace v objektech v do 6 m</t>
  </si>
  <si>
    <t>1275157103</t>
  </si>
  <si>
    <t>Přesun hmot pro vnitřní kanalizace stanovený z hmotnosti přesunovaného materiálu vodorovná dopravní vzdálenost do 50 m v objektech výšky do 6 m</t>
  </si>
  <si>
    <t>1302718975</t>
  </si>
  <si>
    <t>1995804748</t>
  </si>
  <si>
    <t>-579577209</t>
  </si>
  <si>
    <t>-301203192</t>
  </si>
  <si>
    <t>1319503863</t>
  </si>
  <si>
    <t>1523965513</t>
  </si>
  <si>
    <t>1593631486</t>
  </si>
  <si>
    <t>2093669918</t>
  </si>
  <si>
    <t>1290216034</t>
  </si>
  <si>
    <t>-738174686</t>
  </si>
  <si>
    <t>-976384284</t>
  </si>
  <si>
    <t>-691774452</t>
  </si>
  <si>
    <t>1041106341</t>
  </si>
  <si>
    <t>1211736173</t>
  </si>
  <si>
    <t>-1552970449</t>
  </si>
  <si>
    <t>-1662843755</t>
  </si>
  <si>
    <t>722229101</t>
  </si>
  <si>
    <t>Montáž vodovodních armatur s jedním závitem G 1/2 ostatní typ</t>
  </si>
  <si>
    <t>1953730989</t>
  </si>
  <si>
    <t>Armatury s jedním závitem montáž vodovodních armatur s jedním závitem ostatních typů G 1/2</t>
  </si>
  <si>
    <t>722220111</t>
  </si>
  <si>
    <t>Nástěnka pro výtokový ventil G 1/2 s jedním závitem</t>
  </si>
  <si>
    <t>R722221134</t>
  </si>
  <si>
    <t>Ventil výtokový G 1/2 s jedním závitem, napojením na hadici, zpětnou klapkou a přivzdušněním</t>
  </si>
  <si>
    <t>-932697594</t>
  </si>
  <si>
    <t>722231221</t>
  </si>
  <si>
    <t>Ventil pojistný mosazný G 1/2 PN 6 do 100°C k bojleru s vnitřním x vnějším závitem</t>
  </si>
  <si>
    <t>Armatury se dvěma závity ventily pojistné k bojleru mosazné PN 6 do 100°C G 1/2</t>
  </si>
  <si>
    <t>725819401</t>
  </si>
  <si>
    <t>Montáž ventilů rohových G 1/2 s připojovací trubičkou</t>
  </si>
  <si>
    <t>359657466</t>
  </si>
  <si>
    <t>Ventily montáž ventilů ostatních typů rohových s připojovací trubičkou G 1/2</t>
  </si>
  <si>
    <t>ALPRARV001</t>
  </si>
  <si>
    <t>Ventil rohový s filtrem přívod 1/2" / zakončení vnější závit 3/8"</t>
  </si>
  <si>
    <t>-1264947862</t>
  </si>
  <si>
    <t>-247532384</t>
  </si>
  <si>
    <t>R725813113</t>
  </si>
  <si>
    <t>Ventil rohový pračkový přívod 1/2" / zakončení vnější závit 3/4" vč. zpětné klapky</t>
  </si>
  <si>
    <t>139520462</t>
  </si>
  <si>
    <t>722239101</t>
  </si>
  <si>
    <t>Montáž armatur vodovodních se dvěma závity G 1/2</t>
  </si>
  <si>
    <t>-2000825631</t>
  </si>
  <si>
    <t>Armatury se dvěma závity montáž vodovodních armatur se dvěma závity ostatních typů G 1/2</t>
  </si>
  <si>
    <t>722220231</t>
  </si>
  <si>
    <t>Přechodka PPR, D 20 x G 1/2 s kovovým vnitřním závitem</t>
  </si>
  <si>
    <t>-1416250760</t>
  </si>
  <si>
    <t>Armatury s jedním závitem přechodové tvarovky PPR, PN 20 (SDR 6) s kovovým závitem vnitřním přechodky dGK D 20 x G 1/2</t>
  </si>
  <si>
    <t>722232061</t>
  </si>
  <si>
    <t>Kohout kulový přímý G 1/2 PN 42 do 185°C vnitřní závit s vypouštěním</t>
  </si>
  <si>
    <t>-1844537945</t>
  </si>
  <si>
    <t>Armatury se dvěma závity kulové kohouty PN 42 do 185 °C přímé vnitřní závit s vypouštěním G 1/2</t>
  </si>
  <si>
    <t>722231072</t>
  </si>
  <si>
    <t>Ventil zpětný mosazný G 1/2 PN 10 do 110°C se dvěma závity</t>
  </si>
  <si>
    <t>-1627129025</t>
  </si>
  <si>
    <t>Armatury se dvěma závity ventily zpětné mosazné PN 10 do 110°C G 1/2</t>
  </si>
  <si>
    <t>-759883849</t>
  </si>
  <si>
    <t>314726037</t>
  </si>
  <si>
    <t>226962055</t>
  </si>
  <si>
    <t>379915956</t>
  </si>
  <si>
    <t>722220232</t>
  </si>
  <si>
    <t>Přechodka dGK PPR PN 20 D 25 x G 3/4 s kovovým vnitřním závitem</t>
  </si>
  <si>
    <t>-159026923</t>
  </si>
  <si>
    <t>Armatury s jedním závitem přechodové tvarovky PPR, PN 20 (SDR 6) s kovovým závitem vnitřním přechodky dGK D 25 x G 3/4</t>
  </si>
  <si>
    <t>-774728403</t>
  </si>
  <si>
    <t>733794932</t>
  </si>
  <si>
    <t>1294798895</t>
  </si>
  <si>
    <t>-2080713221</t>
  </si>
  <si>
    <t>722229103</t>
  </si>
  <si>
    <t>Montáž vodovodních armatur s jedním závitem G 1 ostatní typ</t>
  </si>
  <si>
    <t>Armatury s jedním závitem montáž vodovodních armatur s jedním závitem ostatních typů G 1</t>
  </si>
  <si>
    <t>722231143</t>
  </si>
  <si>
    <t>Ventil závitový pojistný rohový G 1</t>
  </si>
  <si>
    <t>Armatury se dvěma závity ventily pojistné rohové G 1</t>
  </si>
  <si>
    <t>603470256</t>
  </si>
  <si>
    <t>722220233</t>
  </si>
  <si>
    <t>Přechodka dGK PPR PN 20 D 32 x G 1 s kovovým vnitřním závitem</t>
  </si>
  <si>
    <t>1339262678</t>
  </si>
  <si>
    <t>Armatury s jedním závitem přechodové tvarovky PPR, PN 20 (SDR 6) s kovovým závitem vnitřním přechodky dGK D 32 x G 1</t>
  </si>
  <si>
    <t>274783375</t>
  </si>
  <si>
    <t>722239104</t>
  </si>
  <si>
    <t>Montáž armatur vodovodních se dvěma závity G 5/4</t>
  </si>
  <si>
    <t>466819105</t>
  </si>
  <si>
    <t>Armatury se dvěma závity montáž vodovodních armatur se dvěma závity ostatních typů G 5/4</t>
  </si>
  <si>
    <t>722220234</t>
  </si>
  <si>
    <t>Přechodka dGK PPR PN 20 D 40 x G 5/4 s kovovým vnitřním závitem</t>
  </si>
  <si>
    <t>1210827039</t>
  </si>
  <si>
    <t>Armatury s jedním závitem přechodové tvarovky PPR, PN 20 (SDR 6) s kovovým závitem vnitřním přechodky dGK D 40 x G 5/4</t>
  </si>
  <si>
    <t>722232064</t>
  </si>
  <si>
    <t>Kohout kulový přímý G 5/4 PN 42 do 185°C vnitřní závit s vypouštěním</t>
  </si>
  <si>
    <t>-2127007645</t>
  </si>
  <si>
    <t>Armatury se dvěma závity kulové kohouty PN 42 do 185 °C přímé vnitřní závit s vypouštěním G 5/4</t>
  </si>
  <si>
    <t>-1049670832</t>
  </si>
  <si>
    <t>1464804268</t>
  </si>
  <si>
    <t>722239105</t>
  </si>
  <si>
    <t>Montáž armatur vodovodních se dvěma závity G 6/4</t>
  </si>
  <si>
    <t>1459141834</t>
  </si>
  <si>
    <t>Armatury se dvěma závity montáž vodovodních armatur se dvěma závity ostatních typů G 6/4</t>
  </si>
  <si>
    <t>722220235</t>
  </si>
  <si>
    <t>Přechodka dGK PPR PN 20 D 50 x G 6/4 s kovovým vnitřním závitem</t>
  </si>
  <si>
    <t>-577231427</t>
  </si>
  <si>
    <t>Armatury s jedním závitem přechodové tvarovky PPR, PN 20 (SDR 6) s kovovým závitem vnitřním přechodky dGK D 50 x G 6/4</t>
  </si>
  <si>
    <t>722232065</t>
  </si>
  <si>
    <t>Kohout kulový přímý G 6/4 PN 42 do 185°C vnitřní závit s vypouštěním</t>
  </si>
  <si>
    <t>417164794</t>
  </si>
  <si>
    <t>Armatury se dvěma závity kulové kohouty PN 42 do 185 °C přímé vnitřní závit s vypouštěním G 6/4</t>
  </si>
  <si>
    <t>722239106</t>
  </si>
  <si>
    <t>Montáž armatur vodovodních se dvěma závity G 2</t>
  </si>
  <si>
    <t>-1960811496</t>
  </si>
  <si>
    <t>Armatury se dvěma závity montáž vodovodních armatur se dvěma závity ostatních typů G 2</t>
  </si>
  <si>
    <t>722220236</t>
  </si>
  <si>
    <t>Přechodka dGK PPR PN 20 D 63 x G 2 s kovovým vnitřním závitem</t>
  </si>
  <si>
    <t>-340652875</t>
  </si>
  <si>
    <t>Armatury s jedním závitem přechodové tvarovky PPR, PN 20 (SDR 6) s kovovým závitem vnitřním přechodky dGK D 63 x G 2</t>
  </si>
  <si>
    <t>722232048</t>
  </si>
  <si>
    <t>Kohout kulový přímý G 2 PN 42 do 185°C vnitřní závit</t>
  </si>
  <si>
    <t>807801180</t>
  </si>
  <si>
    <t>Armatury se dvěma závity kulové kohouty PN 42 do 185 °C přímé vnitřní závit G 2</t>
  </si>
  <si>
    <t>722239107</t>
  </si>
  <si>
    <t>Montáž armatur vodovodních se dvěma závity G 2 1/2</t>
  </si>
  <si>
    <t>-147334784</t>
  </si>
  <si>
    <t>Armatury se dvěma závity montáž vodovodních armatur se dvěma závity ostatních typů G 2 1/2</t>
  </si>
  <si>
    <t>722220237</t>
  </si>
  <si>
    <t>Přechodka dGK PPR PN 20 D 75 x G 2 1/2 s kovovým vnitřním závitem</t>
  </si>
  <si>
    <t>-797926012</t>
  </si>
  <si>
    <t>Armatury s jedním závitem přechodové tvarovky PPR, PN 20 (SDR 6) s kovovým závitem vnitřním přechodky dGK D 75 x G 2 1/2</t>
  </si>
  <si>
    <t>722232049</t>
  </si>
  <si>
    <t>Kohout kulový přímý G 2 1/2 PN 42 do 185°C vnitřní závit</t>
  </si>
  <si>
    <t>931973284</t>
  </si>
  <si>
    <t>Armatury se dvěma závity kulové kohouty PN 42 do 185 °C přímé vnitřní závit G 2 1/2</t>
  </si>
  <si>
    <t>315415563</t>
  </si>
  <si>
    <t>Armatury se dvěma závity ventily zpětné mosazné PN 10 do 110°C G 2 1/2</t>
  </si>
  <si>
    <t>722239108</t>
  </si>
  <si>
    <t>Montáž armatur vodovodních se dvěma závity G 3</t>
  </si>
  <si>
    <t>-337374173</t>
  </si>
  <si>
    <t>Armatury se dvěma závity montáž vodovodních armatur se dvěma závity ostatních typů G 3</t>
  </si>
  <si>
    <t>722232050</t>
  </si>
  <si>
    <t>Kohout kulový přímý G 3 PN 42 do 185°C vnitřní závit</t>
  </si>
  <si>
    <t>-142932938</t>
  </si>
  <si>
    <t>Armatury se dvěma závity kulové kohouty PN 42 do 185 °C přímé vnitřní závit G 3</t>
  </si>
  <si>
    <t>-540345958</t>
  </si>
  <si>
    <t>188854042</t>
  </si>
  <si>
    <t>-141217708</t>
  </si>
  <si>
    <t>1242144617</t>
  </si>
  <si>
    <t>721713933</t>
  </si>
  <si>
    <t>-559663552</t>
  </si>
  <si>
    <t>-2140083966</t>
  </si>
  <si>
    <t>1008198710</t>
  </si>
  <si>
    <t>-2116274083</t>
  </si>
  <si>
    <t>93013896</t>
  </si>
  <si>
    <t>-768802840</t>
  </si>
  <si>
    <t>R734421102</t>
  </si>
  <si>
    <t>Tlakoměr s pevným stonkem a zpětnou klapkou tlak 0-10 bar průměr 63 mm spodní připojení</t>
  </si>
  <si>
    <t>Tlakoměry s pevným stonkem a zpětnou klapkou spodní připojení (radiální) tlaku 0–10 bar průměru 63 mm</t>
  </si>
  <si>
    <t>R722250133</t>
  </si>
  <si>
    <t>722290229</t>
  </si>
  <si>
    <t>Zkouška těsnosti vodovodního potrubí závitového do DN 100</t>
  </si>
  <si>
    <t>-1765327741</t>
  </si>
  <si>
    <t>Zkoušky, proplach a desinfekce vodovodního potrubí  zkoušky těsnosti vodovodního potrubí závitového přes DN 50 do DN 100</t>
  </si>
  <si>
    <t>722290234</t>
  </si>
  <si>
    <t>Proplach a dezinfekce vodovodního potrubí do DN 80</t>
  </si>
  <si>
    <t>735075624</t>
  </si>
  <si>
    <t>Zkoušky, proplach a desinfekce vodovodního potrubí proplach a desinfekce vodovodního potrubí do DN 80</t>
  </si>
  <si>
    <t>998722101</t>
  </si>
  <si>
    <t>Přesun hmot tonážní pro vnitřní vodovod v objektech v do 6 m</t>
  </si>
  <si>
    <t>-177217871</t>
  </si>
  <si>
    <t>Přesun hmot pro vnitřní vodovod stanovený z hmotnosti přesunovaného materiálu vodorovná dopravní vzdálenost do 50 m v objektech výšky do 6 m</t>
  </si>
  <si>
    <t>725</t>
  </si>
  <si>
    <t>Zdravotechnika - zařizovací předměty</t>
  </si>
  <si>
    <t>2043827709</t>
  </si>
  <si>
    <t>-2134073309</t>
  </si>
  <si>
    <t>144051770</t>
  </si>
  <si>
    <t>631805730</t>
  </si>
  <si>
    <t>725249101</t>
  </si>
  <si>
    <t>Montáž vaničky sprchové</t>
  </si>
  <si>
    <t>546331780</t>
  </si>
  <si>
    <t>Sprchové vaničky, boxy, kouty a zástěny montáž sprchových vaniček</t>
  </si>
  <si>
    <t>882381591</t>
  </si>
  <si>
    <t>Sprchové vaničky, boxy, kouty a zástěny sprchové vaničky akrylátové čtvercové 900x900 mm</t>
  </si>
  <si>
    <t>725249103</t>
  </si>
  <si>
    <t>Montáž koutu sprchového</t>
  </si>
  <si>
    <t>-749806257</t>
  </si>
  <si>
    <t>Sprchové vaničky, boxy, kouty a zástěny montáž sprchových koutů</t>
  </si>
  <si>
    <t>725245122</t>
  </si>
  <si>
    <t>Zástěna sprchová dvoukřídlá do výšky 2000 mm a šířky 900 mm</t>
  </si>
  <si>
    <t>-488604766</t>
  </si>
  <si>
    <t>Sprchové vaničky, boxy, kouty a zástěny zástěny sprchové do výšky 2000 mm dveře dvoukřídlé, šířky 900 mm</t>
  </si>
  <si>
    <t>725865311</t>
  </si>
  <si>
    <t>Zápachová uzávěrka sprchových van DN 40/50 s kulovým kloubem na odtoku</t>
  </si>
  <si>
    <t>-2085061398</t>
  </si>
  <si>
    <t>Zápachové uzávěrky zařizovacích předmětů pro vany sprchových koutů s kulovým kloubem na odtoku DN 40/50</t>
  </si>
  <si>
    <t>R725869203</t>
  </si>
  <si>
    <t>Montáž zápachových uzávěrek sprchových</t>
  </si>
  <si>
    <t>1654791501</t>
  </si>
  <si>
    <t>725849411</t>
  </si>
  <si>
    <t>Montáž baterie sprchová nástěnná s nastavitelnou výškou sprchy</t>
  </si>
  <si>
    <t>-977789896</t>
  </si>
  <si>
    <t>Baterie sprchové montáž nástěnných baterií s nastavitelnou výškou sprchy</t>
  </si>
  <si>
    <t>725841311.RAF</t>
  </si>
  <si>
    <t>Baterie sprchová nástěnná páková</t>
  </si>
  <si>
    <t>-885175078</t>
  </si>
  <si>
    <t>Baterie sprchová nástěnná RAF RENO C180 páková</t>
  </si>
  <si>
    <t>RSprchový komplet</t>
  </si>
  <si>
    <t>Sprchový komplet (tyč 90 cm, hadice 150 cm, masážní růžice, mýdlenka)</t>
  </si>
  <si>
    <t>R725849411</t>
  </si>
  <si>
    <t>Montáž sprchového kompletu</t>
  </si>
  <si>
    <t>-1057696126</t>
  </si>
  <si>
    <t>349587647</t>
  </si>
  <si>
    <t>Zařízení záchodů montáž klozetových mís závěsných na nosné stěny</t>
  </si>
  <si>
    <t>-1803399500</t>
  </si>
  <si>
    <t>-118806738</t>
  </si>
  <si>
    <t>55167394</t>
  </si>
  <si>
    <t>sedátko klozetové duroplastové bílé antibakteriální</t>
  </si>
  <si>
    <t>2113607060</t>
  </si>
  <si>
    <t>-1327163489</t>
  </si>
  <si>
    <t>-664904987</t>
  </si>
  <si>
    <t>1178735731</t>
  </si>
  <si>
    <t>725219101</t>
  </si>
  <si>
    <t>Montáž umyvadla</t>
  </si>
  <si>
    <t>Umyvadla montáž umyvadel ostatních typů na konzoly</t>
  </si>
  <si>
    <t>642R11030</t>
  </si>
  <si>
    <t>1639822613</t>
  </si>
  <si>
    <t>642R11032</t>
  </si>
  <si>
    <t>1036337395</t>
  </si>
  <si>
    <t>umývátko keramické závěsné bílé</t>
  </si>
  <si>
    <t>725829131</t>
  </si>
  <si>
    <t>Montáž baterie umyvadlové stojánkové G 1/2 ostatní typ</t>
  </si>
  <si>
    <t>-1157165414</t>
  </si>
  <si>
    <t>Baterie umyvadlové montáž ostatních typů stojánkových G 1/2</t>
  </si>
  <si>
    <t>55143987</t>
  </si>
  <si>
    <t>baterie umyvadlová stojánková klasická s výpustí</t>
  </si>
  <si>
    <t>2134844073</t>
  </si>
  <si>
    <t>725869101</t>
  </si>
  <si>
    <t>Montáž zápachových uzávěrek umyvadlových do DN 40</t>
  </si>
  <si>
    <t>1688896798</t>
  </si>
  <si>
    <t>Zápachové uzávěrky zařizovacích předmětů montáž zápachových uzávěrek umyvadlových do DN 40</t>
  </si>
  <si>
    <t>RsifonkovovyAlca</t>
  </si>
  <si>
    <t>Sifon umyvadlový DN32 s výpustí 5/4", celokovový A437</t>
  </si>
  <si>
    <t>Rupevňovacísada</t>
  </si>
  <si>
    <t>upevňovací sada umyvadel (obj.č. Z3443)</t>
  </si>
  <si>
    <t>Rvýpusťumyvadlo,clic</t>
  </si>
  <si>
    <t>Výpusť umyvadlová A392 velký kulatý click - clack</t>
  </si>
  <si>
    <t>-446126603</t>
  </si>
  <si>
    <t>1435605123</t>
  </si>
  <si>
    <t>-1689266068</t>
  </si>
  <si>
    <t>800356691</t>
  </si>
  <si>
    <t>-101736258</t>
  </si>
  <si>
    <t>-381501278</t>
  </si>
  <si>
    <t>1354290593</t>
  </si>
  <si>
    <t>725339111</t>
  </si>
  <si>
    <t>Montáž výlevky</t>
  </si>
  <si>
    <t>1157901026</t>
  </si>
  <si>
    <t>Výlevky montáž výlevky</t>
  </si>
  <si>
    <t>R4271101</t>
  </si>
  <si>
    <t>Výlevka keramická závěsná s plastovou mřížkou, bílá, instalční sada bílá, protihluková sada, vyrovnávací hmota</t>
  </si>
  <si>
    <t>R725829101</t>
  </si>
  <si>
    <t>Montáž baterie nástěnné výlevkové pákové a klasické</t>
  </si>
  <si>
    <t>822585056</t>
  </si>
  <si>
    <t>R5143169</t>
  </si>
  <si>
    <t>baterie výlevková/dřezová nástěnná chromová s plochým ústím 300 mm</t>
  </si>
  <si>
    <t>-921305389</t>
  </si>
  <si>
    <t>-217029194</t>
  </si>
  <si>
    <t>-567585623</t>
  </si>
  <si>
    <t>998725101</t>
  </si>
  <si>
    <t>Přesun hmot tonážní pro zařizovací předměty v objektech v do 6 m</t>
  </si>
  <si>
    <t>Přesun hmot pro zařizovací předměty stanovený z hmotnosti přesunovaného materiálu vodorovná dopravní vzdálenost do 50 m v objektech výšky do 6 m</t>
  </si>
  <si>
    <t>726</t>
  </si>
  <si>
    <t>1075672216</t>
  </si>
  <si>
    <t>2112277816</t>
  </si>
  <si>
    <t>1496015366</t>
  </si>
  <si>
    <t>-110070258</t>
  </si>
  <si>
    <t>87502413</t>
  </si>
  <si>
    <t>-1243363280</t>
  </si>
  <si>
    <t>-991908248</t>
  </si>
  <si>
    <t>-313640613</t>
  </si>
  <si>
    <t>116206714</t>
  </si>
  <si>
    <t>-1609563522</t>
  </si>
  <si>
    <t>-1365589036</t>
  </si>
  <si>
    <t>R727111123</t>
  </si>
  <si>
    <t>R727111141</t>
  </si>
  <si>
    <t>R727111142</t>
  </si>
  <si>
    <t>732199100</t>
  </si>
  <si>
    <t>Montáž orientačních štítků</t>
  </si>
  <si>
    <t>565889665</t>
  </si>
  <si>
    <t>Montáž štítků orientačních</t>
  </si>
  <si>
    <t>1747162845</t>
  </si>
  <si>
    <t>R799.02</t>
  </si>
  <si>
    <t>Stavební přípomoce</t>
  </si>
  <si>
    <t>soub</t>
  </si>
  <si>
    <t>945887893</t>
  </si>
  <si>
    <t>Poznámka k položce:
Prostupy skrze stavební konstrukce, drážky ve stěnách, zazdění prostupů a drážek ve stěnách, začištění omítek</t>
  </si>
  <si>
    <t>R799.03</t>
  </si>
  <si>
    <t>Závěsný a montážní systém</t>
  </si>
  <si>
    <t>262642098</t>
  </si>
  <si>
    <t>Závěsný a montážní systém HILTI</t>
  </si>
  <si>
    <t>Poznámka k položce:
závitové tyče, objímky, nosníky</t>
  </si>
  <si>
    <t>R799.04</t>
  </si>
  <si>
    <t>Uklizení, odstranění a likvidace demontovaných hmot</t>
  </si>
  <si>
    <t>1575190861</t>
  </si>
  <si>
    <t>R799.05</t>
  </si>
  <si>
    <t>Orientační šítek</t>
  </si>
  <si>
    <t>ks</t>
  </si>
  <si>
    <t>2039331219</t>
  </si>
  <si>
    <t>Poznámka k položce:
směrové značení potrubí</t>
  </si>
  <si>
    <t>OST</t>
  </si>
  <si>
    <t>997013111</t>
  </si>
  <si>
    <t>Vnitrostaveništní doprava suti a vybouraných hmot pro budovy v do 6 m s použitím mechanizace</t>
  </si>
  <si>
    <t>18625201</t>
  </si>
  <si>
    <t>R973 0001</t>
  </si>
  <si>
    <t>Drobné stavební přípomoce - hrubé zahození vysekaných drážek a vybouraných prostupů maltou</t>
  </si>
  <si>
    <t>437143612</t>
  </si>
  <si>
    <t>R973 09</t>
  </si>
  <si>
    <t>Drobné stavební přípomoce - zazdění vybouraných prostupů</t>
  </si>
  <si>
    <t>-472897478</t>
  </si>
  <si>
    <t>20-030</t>
  </si>
  <si>
    <t>MĚSTO CHRUDIM, RESSELOVO NÁMĚSTÍ 77, 53716 CHRUDIM</t>
  </si>
  <si>
    <t>pouzdro potrubní izolační s Al folií pro potrubí 16x2,2mm, tl.30 mm</t>
  </si>
  <si>
    <t>pouzdro potrubní izolační s Al folií pro potrubí 20x2,3mm, tl.40 mm</t>
  </si>
  <si>
    <t>pouzdro potrubní izolační s Al folií pro potrubí 25x2,8mm, tl.40 mm</t>
  </si>
  <si>
    <t>pouzdro potrubní izolační s Al folií pro potrubí 32x3,6mm, tl.50 mm</t>
  </si>
  <si>
    <t>pouzdro potrubní izolační s Al folií pro potrubí 40x4,5mm, tl.50 mm</t>
  </si>
  <si>
    <t>pouzdro potrubní izolační s Al folií pro potrubí 50x5,6mm, tl.50 mm</t>
  </si>
  <si>
    <t xml:space="preserve">pouzdro izolační potrubní s jednostrannou Al fólií max. 250/100 °C 63/7,1 mm, tl.50mm </t>
  </si>
  <si>
    <t>pouzdro izolační potrubní s jednostrannou Al fólií max. 250/100 °C 63/50 mm</t>
  </si>
  <si>
    <t>pouzdro izolační potrubní ohebné s jednostrannou Al fólií max. 400/100 °C 54/50 mm</t>
  </si>
  <si>
    <t>pouzdro izolační potrubní ohebné s jednostrannou Al fólií max. 400/100 °C 42/50 mm</t>
  </si>
  <si>
    <t>pouzdro izolační potrubní ohebné s jednostrannou Al fólií max. 400/100 °C 35/50 mm</t>
  </si>
  <si>
    <t>pouzdro izolační potrubní ohebné s jednostrannou Al fólií max. 400/100 °C 28/40 mm</t>
  </si>
  <si>
    <t>pouzdro izolační potrubní ohebné s jednostrannou Al fólií max. 400/100 °C 22/40 mm</t>
  </si>
  <si>
    <t>pouzdro izolační potrubní ohebné s jednostrannou Al fólií max. 400/100 °C 18/30 mm</t>
  </si>
  <si>
    <t>Vanička sprchová, litý mramor čtvrtkruhová 900x900 mm</t>
  </si>
  <si>
    <t>R725241112</t>
  </si>
  <si>
    <t>umyvadlo keramické závěsné bílé, 550mm</t>
  </si>
  <si>
    <t>725119122</t>
  </si>
  <si>
    <t>Montáž klozetových mís kombi</t>
  </si>
  <si>
    <t>642320510</t>
  </si>
  <si>
    <t>klozet keramický bílý kombi, hluboké splachování</t>
  </si>
  <si>
    <t>baterie umyvadlová stojánková s loketní pákou s výpustí</t>
  </si>
  <si>
    <t>R55143987</t>
  </si>
  <si>
    <t>R55143988</t>
  </si>
  <si>
    <t>baterie umyvadlová stojánková na jednu vodu s výpustí</t>
  </si>
  <si>
    <t>R55143989</t>
  </si>
  <si>
    <t>baterie umývátková stojánková klasická s výpustí</t>
  </si>
  <si>
    <t>R55145723</t>
  </si>
  <si>
    <t>R55145724</t>
  </si>
  <si>
    <t>R55145725</t>
  </si>
  <si>
    <t>směšovací dřezová páková nástěnná s napojením na hadici</t>
  </si>
  <si>
    <t>směšovací dřezová páková nástěnná s ruční sprchou</t>
  </si>
  <si>
    <t>směšovací dřezová páková nástěnná s ruční sprchou na pružině</t>
  </si>
  <si>
    <t>R725869101</t>
  </si>
  <si>
    <t>Montáž zápachových uzávěrek dřezových do DN 50</t>
  </si>
  <si>
    <t>Zápachové uzávěrky zařizovacích předmětů montáž zápachových uzávěrek umyvadlových do DN 50</t>
  </si>
  <si>
    <t>Sifon dřezový DN50</t>
  </si>
  <si>
    <t>R725219101</t>
  </si>
  <si>
    <t>Montáž dřezu</t>
  </si>
  <si>
    <t>Demontáž dřezu</t>
  </si>
  <si>
    <t>R725865503</t>
  </si>
  <si>
    <t>Zápachová uzávěrka pro kuchyňský podlahový žlab DN100 se svislým odtokem, s mokrou a suchou  zápachou uzávěrkou - dodávka žlabu.</t>
  </si>
  <si>
    <t>722130237</t>
  </si>
  <si>
    <t>Potrubí vodovodní ocelové závitové pozinkované svařované běžné DN 65</t>
  </si>
  <si>
    <t>Potrubí z ocelových trubek pozinkovaných  závitových svařovaných běžných DN 65</t>
  </si>
  <si>
    <t>722178711</t>
  </si>
  <si>
    <t>722178710</t>
  </si>
  <si>
    <t>722178712</t>
  </si>
  <si>
    <t>722178713</t>
  </si>
  <si>
    <t>722178714</t>
  </si>
  <si>
    <t>722178715</t>
  </si>
  <si>
    <t>722178716</t>
  </si>
  <si>
    <t>722178717</t>
  </si>
  <si>
    <t>722178718</t>
  </si>
  <si>
    <t>Potrubí vodovodní plastové PP-RCT svar polyfuze D 20 x 2,3 mm</t>
  </si>
  <si>
    <t>Potrubí vodovodní plastové PP-RCT svar polyfuze D 25 x 2,8 mm</t>
  </si>
  <si>
    <t>Potrubí vodovodní plastové PP-RCT svar polyfuze D 32 x 3,6 mm</t>
  </si>
  <si>
    <t>Potrubí vodovodní plastové PP-RCT svar polyfuze D 40 x 4,5 mm</t>
  </si>
  <si>
    <t>Potrubí vodovodní plastové PP-RCT svar polyfuze D 50 x 5,6 mm</t>
  </si>
  <si>
    <t>Potrubí vodovodní plastové PP-RCT svar polyfuze D 63 x 7,1 mm</t>
  </si>
  <si>
    <t>Potrubí vodovodní plastové PP-RCT svar polyfuze D 75 x 8,4 mm</t>
  </si>
  <si>
    <t>Potrubí vodovodní plastové PP-RCT svar polyfuze D 90 x 10,1 mm</t>
  </si>
  <si>
    <t>Potrubí vodovodní plastové PP-RCT svar polyfuze D 16 x 2,2 mm</t>
  </si>
  <si>
    <t>722234263</t>
  </si>
  <si>
    <t>Filtr mosazný G 1/2 PN 16 do 120°C s 2x vnitřním závitem</t>
  </si>
  <si>
    <t>722231082.HNW</t>
  </si>
  <si>
    <t>Ventil zpětný kontrolovatelný EA G1/2 PN 16 do 90°C</t>
  </si>
  <si>
    <t>734291123</t>
  </si>
  <si>
    <t>Kohout plnící a vypouštěcí G 1/2 PN 10 do 90°C závitový</t>
  </si>
  <si>
    <t>Ostatní armatury kohouty plnicí a vypouštěcí PN 10 do 90°C G 1/2</t>
  </si>
  <si>
    <t>R722234111</t>
  </si>
  <si>
    <t>R722234112</t>
  </si>
  <si>
    <t>izolační pouzdro pro termostatický regulační ventil cirkualčních okruhů DN15</t>
  </si>
  <si>
    <t>722221135</t>
  </si>
  <si>
    <t>722229102</t>
  </si>
  <si>
    <t>Montáž vodovodních armatur s jedním závitem G 3/4" ostatní typ</t>
  </si>
  <si>
    <t>Ventil výtokový G 3/4 s jedním závitem, se zpětnou klapkou, přivzdušněním a napojením na hadici</t>
  </si>
  <si>
    <t>722234268</t>
  </si>
  <si>
    <t>722231077</t>
  </si>
  <si>
    <t>Filtr mosazný G 2 PN 16 do 120°C s 2x vnitřním závitem</t>
  </si>
  <si>
    <t>Ventil zpětný mosazný G 2 PN 10 do 110°C se dvěma závity</t>
  </si>
  <si>
    <t>Redukční ventil G 2 1/2 PN 10 do 110°C se dvěma závity - 5 bar</t>
  </si>
  <si>
    <t>R722231078</t>
  </si>
  <si>
    <t>Ventil zpětný kontolovatelný G 2 1/2 PN 10 do 110°C příruba</t>
  </si>
  <si>
    <t>Závitové příruby s vnitřním závitem PN16, podle DIN 2566, pozink ocel</t>
  </si>
  <si>
    <t>R722219103</t>
  </si>
  <si>
    <t>Montáž armatur vodovodních přírubových DN 65</t>
  </si>
  <si>
    <t>R34109115</t>
  </si>
  <si>
    <t>Montáž přírub. armatur, 2 příruby, PN 0,6, DN 65</t>
  </si>
  <si>
    <t>Hydrantový systém s tvarově stálou hadicí hydrant C52, se sploštitelnou hadicí, včetně skříně, hliníkového nástěnného hydrantu C52 a navijáku pro hadici, hadice C52, uzavíratelná požární proudnice C52</t>
  </si>
  <si>
    <t>R722250131</t>
  </si>
  <si>
    <t>R722250132</t>
  </si>
  <si>
    <t>Montáž - hydrantový systém s tvarově stálou hadicí hydrant C52, se sploštitelnou hadicí, včetně skříně</t>
  </si>
  <si>
    <t>Demontáž - hydrantový systém s tvarově stálou hadicí hydrant C52</t>
  </si>
  <si>
    <t>Potrubí kanalizační z PP odpadní DN 125</t>
  </si>
  <si>
    <t>Potrubí kanalizační z PP odpadní DN 160</t>
  </si>
  <si>
    <t>Potrubí z plastových trub polypropylenové odpadní (svislé) DN 125</t>
  </si>
  <si>
    <t>Potrubí z plastových trub polypropylenové odpadní (svislé) DN 160</t>
  </si>
  <si>
    <t>721174026</t>
  </si>
  <si>
    <t>721174027</t>
  </si>
  <si>
    <t>R721174043T</t>
  </si>
  <si>
    <t>R721174044T</t>
  </si>
  <si>
    <t>R721174045T</t>
  </si>
  <si>
    <t>R721174024T</t>
  </si>
  <si>
    <t>R721174025T</t>
  </si>
  <si>
    <t>R721174026T</t>
  </si>
  <si>
    <t>Potrubí kanalizační z PP připojovací DN 50-NBR</t>
  </si>
  <si>
    <t>Potrubí kanalizační z PP připojovací DN 70-NBR</t>
  </si>
  <si>
    <t>Potrubí kanalizační z PP připojovací DN 100-NBR</t>
  </si>
  <si>
    <t>Potrubí kanalizační z PP odpadní DN 70-NBR</t>
  </si>
  <si>
    <t>Potrubí kanalizační z PP odpadní DN 100-NBR</t>
  </si>
  <si>
    <t>Potrubí kanalizační z PP odpadní DN 125-NBR</t>
  </si>
  <si>
    <t xml:space="preserve">721274103 </t>
  </si>
  <si>
    <t>Větrací mřížka 150/300 (pro přivzdušňovací ventil kanalizace)</t>
  </si>
  <si>
    <t xml:space="preserve">Přivzdušňovací ventil odpadních potrubí DN 110 </t>
  </si>
  <si>
    <t xml:space="preserve">R721274103 </t>
  </si>
  <si>
    <t xml:space="preserve">Montáž přivzdušňovací ventil odpadní potrubí DN 110 </t>
  </si>
  <si>
    <t>termostatický regulační ventil cirkualčních okruhů DN15, 50-65°C</t>
  </si>
  <si>
    <t xml:space="preserve">K </t>
  </si>
  <si>
    <t>R88888888</t>
  </si>
  <si>
    <t>přečerpávací stanice kondenzátu s elektrodovým snímačem hladiny, vč. Výtlačného potrubí 4,0m</t>
  </si>
  <si>
    <t xml:space="preserve">hadice na horkou vodu DN15, 6bar, +95°C, délka 20m  </t>
  </si>
  <si>
    <t>buben pro hadici nástěnný, nerez</t>
  </si>
  <si>
    <t>R66666666</t>
  </si>
  <si>
    <t>R77777777</t>
  </si>
  <si>
    <t>R32429215</t>
  </si>
  <si>
    <t>Montáž čerpadla oběhového mokroběžného závitového</t>
  </si>
  <si>
    <t>426R10590</t>
  </si>
  <si>
    <t>Čerpadlo oběhové teplovodní závitové DN 25 cirkulační pro TUV výtlak H=6,2m Qmax=0,3m3/h PN 10 nerezové do 80°C</t>
  </si>
  <si>
    <t>R1059011</t>
  </si>
  <si>
    <t>Napojení na stávající rozvody kanalizace DN110</t>
  </si>
  <si>
    <t>Napojení na stávající rozvody kanalizace DN125</t>
  </si>
  <si>
    <t>R12346</t>
  </si>
  <si>
    <t>R12347</t>
  </si>
  <si>
    <t>Napojení na stávající rozvody kanalizace DN160</t>
  </si>
  <si>
    <t>722171939</t>
  </si>
  <si>
    <t>Potrubí plastové výměna trub nebo tvarovek D do 90 mm</t>
  </si>
  <si>
    <t>Napojení na stávající rozvod.</t>
  </si>
  <si>
    <t>R727111188</t>
  </si>
  <si>
    <t>R727111189</t>
  </si>
  <si>
    <t>R727111390</t>
  </si>
  <si>
    <t>Demontáž stávajícího vodovodního potrubí – pozink</t>
  </si>
  <si>
    <t>Demontáž stávajícího kanalizačního potrubí – litina</t>
  </si>
  <si>
    <t>Demontáž stávajícího kanalizačního potrubí – plast</t>
  </si>
  <si>
    <t>R727111101</t>
  </si>
  <si>
    <t>Demontáž stávajícího nerezového vybavení - varný kotel</t>
  </si>
  <si>
    <t>R727111102</t>
  </si>
  <si>
    <t>R727111103</t>
  </si>
  <si>
    <t>R727111104</t>
  </si>
  <si>
    <t>R727111105</t>
  </si>
  <si>
    <t>Demontáž stávajícího nerezového vybavení - myčka nádobí</t>
  </si>
  <si>
    <t>Demontáž stávajícího nerezového vybavení - nápojový automat</t>
  </si>
  <si>
    <t>Demontáž stávajícího nerezového vybavení - dřez</t>
  </si>
  <si>
    <t>Demontáž stávajícího nerezového vybavení - dvoudřez</t>
  </si>
  <si>
    <t xml:space="preserve">    726 - Zdravotechnika - demontáže / montáže stávajícího zařízení + odpojení / napojení</t>
  </si>
  <si>
    <t>Zdravotechnika - demontáže / montáže stávajícího zařízení + odpojení / napojení</t>
  </si>
  <si>
    <t>R727111121</t>
  </si>
  <si>
    <t>R727111122</t>
  </si>
  <si>
    <t>R727111124</t>
  </si>
  <si>
    <t>R727111125</t>
  </si>
  <si>
    <t>Montáž stávajícího nerezového vybavení - varný kotel</t>
  </si>
  <si>
    <t>Montáž stávajícího nerezového vybavení - myčka nádobí</t>
  </si>
  <si>
    <t>Montáž stávajícího nerezového vybavení - nápojový automat</t>
  </si>
  <si>
    <t>Montáž stávajícího nerezového vybavení - dřez</t>
  </si>
  <si>
    <t>Montáž stávajícího nerezového vybavení - dvoudřez</t>
  </si>
  <si>
    <t xml:space="preserve">Kamerová prohlídka stávajícího potrubí kanalizace pod podlahou 1.PP   </t>
  </si>
  <si>
    <t>Čistění a proplach stávajícího potrubí kanalizace pod podlahou 1.PP</t>
  </si>
  <si>
    <t>R727111145</t>
  </si>
  <si>
    <t>Proplach a dezinfekce vodovodního potrubí do DN80 - stávajícího</t>
  </si>
  <si>
    <t>Rozbor pitné vody dle Vyhlášky MZd č. 252/2004 Sb. - úplný rozsah</t>
  </si>
  <si>
    <t>R722181245</t>
  </si>
  <si>
    <t>R722181246</t>
  </si>
  <si>
    <t>Ochrana kanalizačního dešťového potrubí, flexibilní elastomerní izolační materiál s uzavřenými buňkami, tl. do 20 mm DN 160 mm</t>
  </si>
  <si>
    <t>Ochrana kanalizačního dešťového potrubí, flexibilní elastomerní izolační materiál s uzavřenými buňkami, tl. do 20 mm DN 125 mm</t>
  </si>
  <si>
    <t>722181246</t>
  </si>
  <si>
    <t>Ochrana potrubí termoizolačními trubicemi z pěnového polyetylenu PE přilepenými v příčných a podélných spojích, tloušťky izolace přes 13 do 20 mm, vnitřního průměru izolace DN přes 110 mm</t>
  </si>
  <si>
    <t>Ochrana potrubí termoizolačními trubicemi z pěnového polyetylenu PE přilepenými v příčných a podélných spojích, tloušťky izolace přes 13 do 20 mm, vnitřního průměru izolace DN do 62 mm</t>
  </si>
  <si>
    <t>Ochrana potrubí termoizolačními trubicemi z pěnového polyetylenu PE přilepenými v příčných a podélných spojích, tloušťky izolace přes 13 do 20 mm, vnitřního průměru izolace DN do 89 mm</t>
  </si>
  <si>
    <t>Ochrana potrubí termoizolačními trubicemi z pěnového polyetylenu PE přilepenými v příčných a podélných spojích, tloušťky izolace přes 13 do 20 mm, vnitřního průměru izolace DN do 110 mm</t>
  </si>
  <si>
    <t>722181231</t>
  </si>
  <si>
    <t xml:space="preserve">Ochrana potrubí termoizolačními trubicemi z pěnového polyetylénu PE přilepenými v příčných a podélných 
spoiích, tloušťky izolace přes do 9 mm, vnitřního průměru Izolace DN přes 45 do 63 mm </t>
  </si>
  <si>
    <t>722181232</t>
  </si>
  <si>
    <t xml:space="preserve">Ochrana potrubí termoizolačními trubicemi z pěnového polyetylénu PE přilepenými v příčných a podélných 
spoiích, tloušťky izolace přes do 9 mm, vnitřního průměru Izolace DN přes do 89 mm </t>
  </si>
  <si>
    <t>733811244</t>
  </si>
  <si>
    <t>Ochrana potrubí termoizolačními trubicemi z pěnového polyetylenu PE přilepenými v příčných a podélných spojích, tloušťky izolace přes 9 do 13 mm, vnitřního průměru izolace DN do 89 mm</t>
  </si>
  <si>
    <t>733811245</t>
  </si>
  <si>
    <t>Ochrana potrubí termoizolačními trubicemi z pěnového polyetylenu PE přilepenými v příčných a podélných spojích, tloušťky izolace přes 9 do 13 mm, vnitřního průměru izolace DN do 110 mm</t>
  </si>
  <si>
    <t>733811246</t>
  </si>
  <si>
    <t>Ochrana potrubí termoizolačními trubicemi z pěnového polyetylenu PE přilepenými v příčných a podélných spojích, tloušťky izolace přes 9 do 13 mm, vnitřního průměru izolace DN přes 110 mm</t>
  </si>
  <si>
    <t>WC kombi, napouštění boční, barva bílá</t>
  </si>
  <si>
    <t xml:space="preserve">Hadička s pozink opletem 3/8" x 3/8" x 400mm pro přívod studené vody pro WC Kombi obj.č.HA2334 </t>
  </si>
  <si>
    <t>R43215451</t>
  </si>
  <si>
    <t>ZŠ DR. PEŠKA CHRUDIM - REKONSTRUKCE ŠKOLNÍ KUCHYNĚ - SO01</t>
  </si>
  <si>
    <t>programovatelný časový spínač pro cirkulační čerpadlo, dodávka elektro</t>
  </si>
  <si>
    <t>R5161757</t>
  </si>
  <si>
    <t>Bodová odtoková vpusť nerez DN75 se svislým odtokem, nerez rámeček 200x200mm, vše s atestem do potravinářského provozu. Typ vpusti odsouhlasit dodavatelem podlahové polyuretanbetonové stěrky</t>
  </si>
  <si>
    <t>Montáž podlahových žlabů</t>
  </si>
  <si>
    <t>R5161757R</t>
  </si>
  <si>
    <t>R5161758R</t>
  </si>
  <si>
    <t>721211913R</t>
  </si>
  <si>
    <t>Nerezový podlahový odtokový žlab 500x300 s nerezovým pochozím roštem, odtok 2x DN100 včetně zápachové uzávěrky, vše s atestem do potravinářského provozu. Okraj žlabu pro napojení polyuretanbetonové stěrky.</t>
  </si>
  <si>
    <t>Nerezový podlahový odtokový žlab 5200x400 s nerezovým pochozím roštem, odtok 2x DN100 včetně zápachové uzávěrky, vše s atestem do potravinářského provozu. Okraj žlabu pro napojení polyuretanbetonové stěrky.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</si>
</sst>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u val="single"/>
      <sz val="11"/>
      <color theme="10"/>
      <name val="Calibri"/>
      <family val="2"/>
      <scheme val="minor"/>
    </font>
    <font>
      <sz val="7"/>
      <name val="Arial CE"/>
      <family val="2"/>
    </font>
    <font>
      <sz val="7"/>
      <color rgb="FFFF0000"/>
      <name val="Arial CE"/>
      <family val="2"/>
    </font>
    <font>
      <sz val="8"/>
      <color rgb="FFFF0000"/>
      <name val="Arial CE"/>
      <family val="2"/>
    </font>
    <font>
      <sz val="8"/>
      <color rgb="FF003366"/>
      <name val="Arial CE"/>
      <family val="2"/>
    </font>
    <font>
      <sz val="7"/>
      <color rgb="FF969696"/>
      <name val="Arial CE"/>
      <family val="2"/>
    </font>
    <font>
      <sz val="9"/>
      <color rgb="FF0000FF"/>
      <name val="Arial CE"/>
      <family val="2"/>
    </font>
    <font>
      <sz val="8"/>
      <color rgb="FF0000FF"/>
      <name val="Arial CE"/>
      <family val="2"/>
    </font>
    <font>
      <sz val="8"/>
      <color rgb="FF505050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34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5" fillId="2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4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7" fillId="3" borderId="0" xfId="0" applyFont="1" applyFill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5" fillId="0" borderId="17" xfId="0" applyNumberFormat="1" applyFont="1" applyBorder="1" applyAlignment="1" applyProtection="1">
      <alignment vertical="center"/>
      <protection/>
    </xf>
    <xf numFmtId="4" fontId="15" fillId="0" borderId="0" xfId="0" applyNumberFormat="1" applyFont="1" applyBorder="1" applyAlignment="1" applyProtection="1">
      <alignment vertical="center"/>
      <protection/>
    </xf>
    <xf numFmtId="166" fontId="15" fillId="0" borderId="0" xfId="0" applyNumberFormat="1" applyFont="1" applyBorder="1" applyAlignment="1" applyProtection="1">
      <alignment vertical="center"/>
      <protection/>
    </xf>
    <xf numFmtId="4" fontId="15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4" fillId="0" borderId="17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4" fillId="0" borderId="18" xfId="0" applyNumberFormat="1" applyFont="1" applyBorder="1" applyAlignment="1" applyProtection="1">
      <alignment vertical="center"/>
      <protection/>
    </xf>
    <xf numFmtId="4" fontId="24" fillId="0" borderId="19" xfId="0" applyNumberFormat="1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4" fontId="24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17" fillId="3" borderId="0" xfId="0" applyFont="1" applyFill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7" fillId="3" borderId="13" xfId="0" applyFont="1" applyFill="1" applyBorder="1" applyAlignment="1" applyProtection="1">
      <alignment horizontal="center" vertical="center" wrapText="1"/>
      <protection/>
    </xf>
    <xf numFmtId="0" fontId="17" fillId="3" borderId="14" xfId="0" applyFont="1" applyFill="1" applyBorder="1" applyAlignment="1" applyProtection="1">
      <alignment horizontal="center" vertical="center" wrapText="1"/>
      <protection/>
    </xf>
    <xf numFmtId="0" fontId="17" fillId="3" borderId="15" xfId="0" applyFont="1" applyFill="1" applyBorder="1" applyAlignment="1" applyProtection="1">
      <alignment horizontal="center" vertical="center" wrapText="1"/>
      <protection/>
    </xf>
    <xf numFmtId="0" fontId="17" fillId="3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7" fillId="0" borderId="10" xfId="0" applyNumberFormat="1" applyFont="1" applyBorder="1" applyAlignment="1" applyProtection="1">
      <alignment/>
      <protection/>
    </xf>
    <xf numFmtId="166" fontId="27" fillId="0" borderId="11" xfId="0" applyNumberFormat="1" applyFont="1" applyBorder="1" applyAlignment="1" applyProtection="1">
      <alignment/>
      <protection/>
    </xf>
    <xf numFmtId="4" fontId="28" fillId="0" borderId="0" xfId="0" applyNumberFormat="1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14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 applyProtection="1">
      <alignment vertical="center"/>
      <protection/>
    </xf>
    <xf numFmtId="0" fontId="17" fillId="0" borderId="22" xfId="0" applyFont="1" applyFill="1" applyBorder="1" applyAlignment="1" applyProtection="1">
      <alignment horizontal="center" vertical="center"/>
      <protection/>
    </xf>
    <xf numFmtId="49" fontId="17" fillId="0" borderId="22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Font="1" applyFill="1" applyBorder="1" applyAlignment="1" applyProtection="1">
      <alignment horizontal="left" vertical="center" wrapText="1"/>
      <protection/>
    </xf>
    <xf numFmtId="0" fontId="17" fillId="0" borderId="22" xfId="0" applyFont="1" applyFill="1" applyBorder="1" applyAlignment="1" applyProtection="1">
      <alignment horizontal="center" vertical="center" wrapText="1"/>
      <protection/>
    </xf>
    <xf numFmtId="4" fontId="17" fillId="0" borderId="22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>
      <alignment vertical="center"/>
    </xf>
    <xf numFmtId="0" fontId="17" fillId="0" borderId="17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166" fontId="17" fillId="0" borderId="0" xfId="0" applyNumberFormat="1" applyFont="1" applyFill="1" applyBorder="1" applyAlignment="1" applyProtection="1">
      <alignment vertical="center"/>
      <protection/>
    </xf>
    <xf numFmtId="166" fontId="17" fillId="0" borderId="12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30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17" fillId="0" borderId="22" xfId="0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center" vertical="center" wrapText="1"/>
    </xf>
    <xf numFmtId="4" fontId="17" fillId="0" borderId="22" xfId="0" applyNumberFormat="1" applyFont="1" applyFill="1" applyBorder="1" applyAlignment="1">
      <alignment vertical="center"/>
    </xf>
    <xf numFmtId="0" fontId="30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 wrapText="1"/>
    </xf>
    <xf numFmtId="0" fontId="8" fillId="0" borderId="19" xfId="0" applyFont="1" applyBorder="1" applyAlignment="1" applyProtection="1">
      <alignment horizontal="left" vertical="center"/>
      <protection/>
    </xf>
    <xf numFmtId="0" fontId="36" fillId="0" borderId="22" xfId="0" applyFont="1" applyFill="1" applyBorder="1" applyAlignment="1" applyProtection="1">
      <alignment vertical="center"/>
      <protection/>
    </xf>
    <xf numFmtId="0" fontId="36" fillId="0" borderId="3" xfId="0" applyFont="1" applyFill="1" applyBorder="1" applyAlignment="1">
      <alignment vertical="center"/>
    </xf>
    <xf numFmtId="0" fontId="35" fillId="0" borderId="17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166" fontId="18" fillId="0" borderId="0" xfId="0" applyNumberFormat="1" applyFont="1" applyFill="1" applyBorder="1" applyAlignment="1" applyProtection="1">
      <alignment vertical="center"/>
      <protection/>
    </xf>
    <xf numFmtId="166" fontId="18" fillId="0" borderId="12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vertical="center"/>
      <protection/>
    </xf>
    <xf numFmtId="0" fontId="31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left" vertical="center" wrapText="1"/>
      <protection/>
    </xf>
    <xf numFmtId="0" fontId="18" fillId="0" borderId="17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3" xfId="0" applyFont="1" applyFill="1" applyBorder="1" applyAlignment="1">
      <alignment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/>
    </xf>
    <xf numFmtId="166" fontId="0" fillId="0" borderId="12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3" xfId="0" applyFont="1" applyFill="1" applyBorder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4" fontId="7" fillId="0" borderId="0" xfId="0" applyNumberFormat="1" applyFont="1" applyFill="1" applyAlignment="1" applyProtection="1">
      <alignment/>
      <protection/>
    </xf>
    <xf numFmtId="0" fontId="33" fillId="0" borderId="3" xfId="0" applyFont="1" applyFill="1" applyBorder="1" applyAlignment="1">
      <alignment/>
    </xf>
    <xf numFmtId="0" fontId="33" fillId="0" borderId="17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/>
    </xf>
    <xf numFmtId="166" fontId="33" fillId="0" borderId="0" xfId="0" applyNumberFormat="1" applyFont="1" applyFill="1" applyBorder="1" applyAlignment="1" applyProtection="1">
      <alignment/>
      <protection/>
    </xf>
    <xf numFmtId="166" fontId="33" fillId="0" borderId="12" xfId="0" applyNumberFormat="1" applyFont="1" applyFill="1" applyBorder="1" applyAlignment="1" applyProtection="1">
      <alignment/>
      <protection/>
    </xf>
    <xf numFmtId="0" fontId="33" fillId="0" borderId="0" xfId="0" applyFont="1" applyFill="1" applyAlignment="1">
      <alignment horizontal="left"/>
    </xf>
    <xf numFmtId="0" fontId="33" fillId="0" borderId="0" xfId="0" applyFont="1" applyFill="1" applyAlignment="1">
      <alignment horizontal="center"/>
    </xf>
    <xf numFmtId="4" fontId="33" fillId="0" borderId="0" xfId="0" applyNumberFormat="1" applyFont="1" applyFill="1" applyAlignment="1">
      <alignment vertical="center"/>
    </xf>
    <xf numFmtId="0" fontId="8" fillId="0" borderId="0" xfId="0" applyFont="1" applyFill="1" applyAlignment="1" applyProtection="1">
      <alignment horizontal="left"/>
      <protection/>
    </xf>
    <xf numFmtId="4" fontId="8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 applyProtection="1">
      <alignment horizontal="left" vertical="center"/>
      <protection/>
    </xf>
    <xf numFmtId="0" fontId="17" fillId="0" borderId="22" xfId="0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center" vertical="center" wrapText="1"/>
    </xf>
    <xf numFmtId="4" fontId="17" fillId="0" borderId="22" xfId="0" applyNumberFormat="1" applyFont="1" applyFill="1" applyBorder="1" applyAlignment="1">
      <alignment vertical="center"/>
    </xf>
    <xf numFmtId="0" fontId="37" fillId="0" borderId="3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37" fillId="0" borderId="3" xfId="0" applyFont="1" applyFill="1" applyBorder="1" applyAlignment="1">
      <alignment vertical="center"/>
    </xf>
    <xf numFmtId="0" fontId="37" fillId="0" borderId="17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12" xfId="0" applyFont="1" applyFill="1" applyBorder="1" applyAlignment="1" applyProtection="1">
      <alignment vertical="center"/>
      <protection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left" vertical="center"/>
    </xf>
    <xf numFmtId="0" fontId="32" fillId="0" borderId="3" xfId="0" applyFont="1" applyFill="1" applyBorder="1" applyAlignment="1" applyProtection="1">
      <alignment vertical="center"/>
      <protection/>
    </xf>
    <xf numFmtId="0" fontId="32" fillId="0" borderId="3" xfId="0" applyFont="1" applyFill="1" applyBorder="1" applyAlignment="1">
      <alignment vertical="center"/>
    </xf>
    <xf numFmtId="0" fontId="32" fillId="0" borderId="17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12" xfId="0" applyFont="1" applyFill="1" applyBorder="1" applyAlignment="1" applyProtection="1">
      <alignment vertical="center"/>
      <protection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left" vertical="center"/>
    </xf>
    <xf numFmtId="0" fontId="0" fillId="0" borderId="3" xfId="0" applyFont="1" applyFill="1" applyBorder="1" applyAlignment="1" applyProtection="1">
      <alignment vertical="center"/>
      <protection/>
    </xf>
    <xf numFmtId="0" fontId="17" fillId="0" borderId="22" xfId="0" applyFont="1" applyFill="1" applyBorder="1" applyAlignment="1" applyProtection="1">
      <alignment horizontal="center" vertical="center"/>
      <protection/>
    </xf>
    <xf numFmtId="4" fontId="17" fillId="0" borderId="22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>
      <alignment vertical="center"/>
    </xf>
    <xf numFmtId="0" fontId="17" fillId="0" borderId="17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166" fontId="17" fillId="0" borderId="0" xfId="0" applyNumberFormat="1" applyFont="1" applyFill="1" applyBorder="1" applyAlignment="1" applyProtection="1">
      <alignment vertical="center"/>
      <protection/>
    </xf>
    <xf numFmtId="166" fontId="17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" fontId="0" fillId="0" borderId="0" xfId="0" applyNumberFormat="1" applyFont="1" applyFill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34" fillId="0" borderId="0" xfId="0" applyFont="1" applyFill="1" applyAlignment="1" applyProtection="1">
      <alignment vertical="center" wrapText="1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8" xfId="0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0" xfId="0" applyFont="1" applyFill="1"/>
    <xf numFmtId="4" fontId="33" fillId="0" borderId="0" xfId="0" applyNumberFormat="1" applyFont="1" applyFill="1" applyAlignment="1">
      <alignment/>
    </xf>
    <xf numFmtId="0" fontId="17" fillId="0" borderId="22" xfId="0" applyFont="1" applyFill="1" applyBorder="1" applyAlignment="1" applyProtection="1">
      <alignment horizontal="left" vertical="center" wrapText="1"/>
      <protection/>
    </xf>
    <xf numFmtId="0" fontId="17" fillId="0" borderId="22" xfId="0" applyFont="1" applyFill="1" applyBorder="1" applyAlignment="1" applyProtection="1">
      <alignment horizontal="center" vertical="center"/>
      <protection/>
    </xf>
    <xf numFmtId="49" fontId="17" fillId="0" borderId="22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Font="1" applyFill="1" applyBorder="1" applyAlignment="1" applyProtection="1">
      <alignment horizontal="center" vertical="center" wrapText="1"/>
      <protection/>
    </xf>
    <xf numFmtId="4" fontId="17" fillId="0" borderId="22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166" fontId="17" fillId="0" borderId="0" xfId="0" applyNumberFormat="1" applyFont="1" applyFill="1" applyBorder="1" applyAlignment="1" applyProtection="1">
      <alignment vertical="center"/>
      <protection/>
    </xf>
    <xf numFmtId="166" fontId="17" fillId="0" borderId="12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Alignment="1">
      <alignment horizontal="left" vertical="center"/>
    </xf>
    <xf numFmtId="167" fontId="17" fillId="0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67" fontId="17" fillId="0" borderId="22" xfId="0" applyNumberFormat="1" applyFont="1" applyFill="1" applyBorder="1" applyAlignment="1">
      <alignment vertical="center"/>
    </xf>
    <xf numFmtId="0" fontId="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horizontal="left" vertical="center" wrapText="1"/>
      <protection/>
    </xf>
    <xf numFmtId="4" fontId="33" fillId="0" borderId="3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66" fontId="33" fillId="0" borderId="0" xfId="0" applyNumberFormat="1" applyFont="1" applyFill="1" applyAlignment="1">
      <alignment/>
    </xf>
    <xf numFmtId="49" fontId="17" fillId="0" borderId="22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Font="1" applyFill="1" applyBorder="1" applyAlignment="1" applyProtection="1">
      <alignment horizontal="left" vertical="center" wrapText="1"/>
      <protection/>
    </xf>
    <xf numFmtId="0" fontId="17" fillId="0" borderId="22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7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7" fillId="3" borderId="7" xfId="0" applyFont="1" applyFill="1" applyBorder="1" applyAlignment="1" applyProtection="1">
      <alignment horizontal="center" vertical="center"/>
      <protection/>
    </xf>
    <xf numFmtId="0" fontId="17" fillId="3" borderId="7" xfId="0" applyFont="1" applyFill="1" applyBorder="1" applyAlignment="1" applyProtection="1">
      <alignment horizontal="left" vertical="center"/>
      <protection/>
    </xf>
    <xf numFmtId="0" fontId="17" fillId="3" borderId="21" xfId="0" applyFont="1" applyFill="1" applyBorder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4" fontId="19" fillId="0" borderId="0" xfId="0" applyNumberFormat="1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0" fontId="0" fillId="0" borderId="0" xfId="0"/>
    <xf numFmtId="0" fontId="3" fillId="0" borderId="0" xfId="0" applyFont="1" applyAlignment="1" applyProtection="1">
      <alignment horizontal="left" vertical="center" wrapText="1"/>
      <protection/>
    </xf>
    <xf numFmtId="4" fontId="12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3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2" borderId="7" xfId="0" applyFont="1" applyFill="1" applyBorder="1" applyAlignment="1" applyProtection="1">
      <alignment horizontal="left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4" fontId="5" fillId="2" borderId="7" xfId="0" applyNumberFormat="1" applyFont="1" applyFill="1" applyBorder="1" applyAlignment="1" applyProtection="1">
      <alignment vertical="center"/>
      <protection/>
    </xf>
    <xf numFmtId="0" fontId="0" fillId="2" borderId="21" xfId="0" applyFont="1" applyFill="1" applyBorder="1" applyAlignment="1" applyProtection="1">
      <alignment vertical="center"/>
      <protection/>
    </xf>
    <xf numFmtId="0" fontId="17" fillId="3" borderId="6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17" fillId="3" borderId="7" xfId="0" applyFont="1" applyFill="1" applyBorder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tabSelected="1" workbookViewId="0" topLeftCell="A1">
      <selection activeCell="E20" sqref="E2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s="1" customFormat="1" ht="36.95" customHeight="1"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S2" s="13" t="s">
        <v>6</v>
      </c>
      <c r="BT2" s="13" t="s">
        <v>7</v>
      </c>
    </row>
    <row r="3" spans="2:72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s="1" customFormat="1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S4" s="13" t="s">
        <v>11</v>
      </c>
    </row>
    <row r="5" spans="2:71" s="1" customFormat="1" ht="12" customHeight="1">
      <c r="B5" s="17"/>
      <c r="C5" s="18"/>
      <c r="D5" s="21" t="s">
        <v>12</v>
      </c>
      <c r="E5" s="18"/>
      <c r="F5" s="18"/>
      <c r="G5" s="18"/>
      <c r="H5" s="18"/>
      <c r="I5" s="18"/>
      <c r="J5" s="18"/>
      <c r="K5" s="314" t="s">
        <v>577</v>
      </c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18"/>
      <c r="AQ5" s="18"/>
      <c r="AR5" s="16"/>
      <c r="BS5" s="13" t="s">
        <v>6</v>
      </c>
    </row>
    <row r="6" spans="2:71" s="1" customFormat="1" ht="36.95" customHeight="1">
      <c r="B6" s="17"/>
      <c r="C6" s="18"/>
      <c r="D6" s="23" t="s">
        <v>13</v>
      </c>
      <c r="E6" s="18"/>
      <c r="F6" s="18"/>
      <c r="G6" s="18"/>
      <c r="H6" s="18"/>
      <c r="I6" s="18"/>
      <c r="J6" s="18"/>
      <c r="K6" s="316" t="s">
        <v>771</v>
      </c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18"/>
      <c r="AQ6" s="18"/>
      <c r="AR6" s="16"/>
      <c r="BS6" s="13" t="s">
        <v>6</v>
      </c>
    </row>
    <row r="7" spans="2:71" s="1" customFormat="1" ht="12" customHeight="1">
      <c r="B7" s="17"/>
      <c r="C7" s="18"/>
      <c r="D7" s="24" t="s">
        <v>14</v>
      </c>
      <c r="E7" s="18"/>
      <c r="F7" s="18"/>
      <c r="G7" s="18"/>
      <c r="H7" s="18"/>
      <c r="I7" s="18"/>
      <c r="J7" s="18"/>
      <c r="K7" s="22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4" t="s">
        <v>15</v>
      </c>
      <c r="AL7" s="18"/>
      <c r="AM7" s="18"/>
      <c r="AN7" s="22" t="s">
        <v>1</v>
      </c>
      <c r="AO7" s="18"/>
      <c r="AP7" s="18"/>
      <c r="AQ7" s="18"/>
      <c r="AR7" s="16"/>
      <c r="BS7" s="13" t="s">
        <v>6</v>
      </c>
    </row>
    <row r="8" spans="2:71" s="1" customFormat="1" ht="12" customHeight="1">
      <c r="B8" s="17"/>
      <c r="C8" s="18"/>
      <c r="D8" s="24" t="s">
        <v>16</v>
      </c>
      <c r="E8" s="18"/>
      <c r="F8" s="18"/>
      <c r="G8" s="18"/>
      <c r="H8" s="18"/>
      <c r="I8" s="18"/>
      <c r="J8" s="18"/>
      <c r="K8" s="22" t="s">
        <v>17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4" t="s">
        <v>18</v>
      </c>
      <c r="AL8" s="18"/>
      <c r="AM8" s="18"/>
      <c r="AN8" s="165">
        <v>44074</v>
      </c>
      <c r="AO8" s="18"/>
      <c r="AP8" s="18"/>
      <c r="AQ8" s="18"/>
      <c r="AR8" s="16"/>
      <c r="BS8" s="13" t="s">
        <v>6</v>
      </c>
    </row>
    <row r="9" spans="2:71" s="1" customFormat="1" ht="14.4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S9" s="13" t="s">
        <v>6</v>
      </c>
    </row>
    <row r="10" spans="2:71" s="1" customFormat="1" ht="12" customHeight="1">
      <c r="B10" s="17"/>
      <c r="C10" s="18"/>
      <c r="D10" s="24" t="s">
        <v>19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4" t="s">
        <v>20</v>
      </c>
      <c r="AL10" s="18"/>
      <c r="AM10" s="18"/>
      <c r="AN10" s="22" t="s">
        <v>1</v>
      </c>
      <c r="AO10" s="18"/>
      <c r="AP10" s="18"/>
      <c r="AQ10" s="18"/>
      <c r="AR10" s="16"/>
      <c r="BS10" s="13" t="s">
        <v>6</v>
      </c>
    </row>
    <row r="11" spans="2:71" s="1" customFormat="1" ht="18.4" customHeight="1">
      <c r="B11" s="17"/>
      <c r="C11" s="18"/>
      <c r="D11" s="18"/>
      <c r="E11" s="22" t="s">
        <v>578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4" t="s">
        <v>21</v>
      </c>
      <c r="AL11" s="18"/>
      <c r="AM11" s="18"/>
      <c r="AN11" s="22" t="s">
        <v>1</v>
      </c>
      <c r="AO11" s="18"/>
      <c r="AP11" s="18"/>
      <c r="AQ11" s="18"/>
      <c r="AR11" s="16"/>
      <c r="BS11" s="13" t="s">
        <v>6</v>
      </c>
    </row>
    <row r="12" spans="2:71" s="1" customFormat="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S12" s="13" t="s">
        <v>6</v>
      </c>
    </row>
    <row r="13" spans="2:71" s="1" customFormat="1" ht="12" customHeight="1">
      <c r="B13" s="17"/>
      <c r="C13" s="18"/>
      <c r="D13" s="24" t="s">
        <v>22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4" t="s">
        <v>20</v>
      </c>
      <c r="AL13" s="18"/>
      <c r="AM13" s="18"/>
      <c r="AN13" s="22" t="s">
        <v>1</v>
      </c>
      <c r="AO13" s="18"/>
      <c r="AP13" s="18"/>
      <c r="AQ13" s="18"/>
      <c r="AR13" s="16"/>
      <c r="BS13" s="13" t="s">
        <v>6</v>
      </c>
    </row>
    <row r="14" spans="2:71" ht="12.75">
      <c r="B14" s="17"/>
      <c r="C14" s="18"/>
      <c r="D14" s="18"/>
      <c r="E14" s="22" t="s">
        <v>23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24" t="s">
        <v>21</v>
      </c>
      <c r="AL14" s="18"/>
      <c r="AM14" s="18"/>
      <c r="AN14" s="22" t="s">
        <v>1</v>
      </c>
      <c r="AO14" s="18"/>
      <c r="AP14" s="18"/>
      <c r="AQ14" s="18"/>
      <c r="AR14" s="16"/>
      <c r="BS14" s="13" t="s">
        <v>6</v>
      </c>
    </row>
    <row r="15" spans="2:71" s="1" customFormat="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S15" s="13" t="s">
        <v>4</v>
      </c>
    </row>
    <row r="16" spans="2:71" s="1" customFormat="1" ht="12" customHeight="1">
      <c r="B16" s="17"/>
      <c r="C16" s="18"/>
      <c r="D16" s="24" t="s">
        <v>24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4" t="s">
        <v>20</v>
      </c>
      <c r="AL16" s="18"/>
      <c r="AM16" s="18"/>
      <c r="AN16" s="22" t="s">
        <v>1</v>
      </c>
      <c r="AO16" s="18"/>
      <c r="AP16" s="18"/>
      <c r="AQ16" s="18"/>
      <c r="AR16" s="16"/>
      <c r="BS16" s="13" t="s">
        <v>4</v>
      </c>
    </row>
    <row r="17" spans="2:71" s="1" customFormat="1" ht="18.4" customHeight="1">
      <c r="B17" s="17"/>
      <c r="C17" s="18"/>
      <c r="D17" s="18"/>
      <c r="E17" s="22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4" t="s">
        <v>21</v>
      </c>
      <c r="AL17" s="18"/>
      <c r="AM17" s="18"/>
      <c r="AN17" s="22" t="s">
        <v>1</v>
      </c>
      <c r="AO17" s="18"/>
      <c r="AP17" s="18"/>
      <c r="AQ17" s="18"/>
      <c r="AR17" s="16"/>
      <c r="BS17" s="13" t="s">
        <v>25</v>
      </c>
    </row>
    <row r="18" spans="2:71" s="1" customFormat="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S18" s="13" t="s">
        <v>6</v>
      </c>
    </row>
    <row r="19" spans="2:71" s="1" customFormat="1" ht="12" customHeight="1">
      <c r="B19" s="17"/>
      <c r="C19" s="18"/>
      <c r="D19" s="24" t="s">
        <v>26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4" t="s">
        <v>20</v>
      </c>
      <c r="AL19" s="18"/>
      <c r="AM19" s="18"/>
      <c r="AN19" s="22" t="s">
        <v>1</v>
      </c>
      <c r="AO19" s="18"/>
      <c r="AP19" s="18"/>
      <c r="AQ19" s="18"/>
      <c r="AR19" s="16"/>
      <c r="BS19" s="13" t="s">
        <v>6</v>
      </c>
    </row>
    <row r="20" spans="2:71" s="1" customFormat="1" ht="18.4" customHeight="1">
      <c r="B20" s="17"/>
      <c r="C20" s="18"/>
      <c r="D20" s="18"/>
      <c r="E20" s="164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4" t="s">
        <v>21</v>
      </c>
      <c r="AL20" s="18"/>
      <c r="AM20" s="18"/>
      <c r="AN20" s="22" t="s">
        <v>1</v>
      </c>
      <c r="AO20" s="18"/>
      <c r="AP20" s="18"/>
      <c r="AQ20" s="18"/>
      <c r="AR20" s="16"/>
      <c r="BS20" s="13" t="s">
        <v>25</v>
      </c>
    </row>
    <row r="21" spans="2:44" s="1" customFormat="1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</row>
    <row r="22" spans="2:44" s="1" customFormat="1" ht="12" customHeight="1">
      <c r="B22" s="17"/>
      <c r="C22" s="18"/>
      <c r="D22" s="24" t="s">
        <v>27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</row>
    <row r="23" spans="2:44" s="1" customFormat="1" ht="16.5" customHeight="1">
      <c r="B23" s="17"/>
      <c r="C23" s="18"/>
      <c r="D23" s="18"/>
      <c r="E23" s="318" t="s">
        <v>1</v>
      </c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  <c r="AF23" s="318"/>
      <c r="AG23" s="318"/>
      <c r="AH23" s="318"/>
      <c r="AI23" s="318"/>
      <c r="AJ23" s="318"/>
      <c r="AK23" s="318"/>
      <c r="AL23" s="318"/>
      <c r="AM23" s="318"/>
      <c r="AN23" s="318"/>
      <c r="AO23" s="18"/>
      <c r="AP23" s="18"/>
      <c r="AQ23" s="18"/>
      <c r="AR23" s="16"/>
    </row>
    <row r="24" spans="2:44" s="1" customFormat="1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</row>
    <row r="25" spans="2:44" s="1" customFormat="1" ht="6.95" customHeight="1">
      <c r="B25" s="17"/>
      <c r="C25" s="1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18"/>
      <c r="AQ25" s="18"/>
      <c r="AR25" s="16"/>
    </row>
    <row r="26" spans="1:57" s="2" customFormat="1" ht="25.9" customHeight="1">
      <c r="A26" s="27"/>
      <c r="B26" s="28"/>
      <c r="C26" s="29"/>
      <c r="D26" s="30" t="s">
        <v>28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9">
        <f>ROUND(AG94,2)</f>
        <v>0</v>
      </c>
      <c r="AL26" s="320"/>
      <c r="AM26" s="320"/>
      <c r="AN26" s="320"/>
      <c r="AO26" s="320"/>
      <c r="AP26" s="29"/>
      <c r="AQ26" s="29"/>
      <c r="AR26" s="32"/>
      <c r="BE26" s="27"/>
    </row>
    <row r="27" spans="1:57" s="2" customFormat="1" ht="6.95" customHeight="1">
      <c r="A27" s="27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2"/>
      <c r="BE27" s="27"/>
    </row>
    <row r="28" spans="1:57" s="2" customFormat="1" ht="12.75">
      <c r="A28" s="27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321" t="s">
        <v>29</v>
      </c>
      <c r="M28" s="321"/>
      <c r="N28" s="321"/>
      <c r="O28" s="321"/>
      <c r="P28" s="321"/>
      <c r="Q28" s="29"/>
      <c r="R28" s="29"/>
      <c r="S28" s="29"/>
      <c r="T28" s="29"/>
      <c r="U28" s="29"/>
      <c r="V28" s="29"/>
      <c r="W28" s="321" t="s">
        <v>30</v>
      </c>
      <c r="X28" s="321"/>
      <c r="Y28" s="321"/>
      <c r="Z28" s="321"/>
      <c r="AA28" s="321"/>
      <c r="AB28" s="321"/>
      <c r="AC28" s="321"/>
      <c r="AD28" s="321"/>
      <c r="AE28" s="321"/>
      <c r="AF28" s="29"/>
      <c r="AG28" s="29"/>
      <c r="AH28" s="29"/>
      <c r="AI28" s="29"/>
      <c r="AJ28" s="29"/>
      <c r="AK28" s="321" t="s">
        <v>31</v>
      </c>
      <c r="AL28" s="321"/>
      <c r="AM28" s="321"/>
      <c r="AN28" s="321"/>
      <c r="AO28" s="321"/>
      <c r="AP28" s="29"/>
      <c r="AQ28" s="29"/>
      <c r="AR28" s="32"/>
      <c r="BE28" s="27"/>
    </row>
    <row r="29" spans="2:44" s="3" customFormat="1" ht="14.45" customHeight="1">
      <c r="B29" s="33"/>
      <c r="C29" s="34"/>
      <c r="D29" s="24" t="s">
        <v>32</v>
      </c>
      <c r="E29" s="34"/>
      <c r="F29" s="24" t="s">
        <v>33</v>
      </c>
      <c r="G29" s="34"/>
      <c r="H29" s="34"/>
      <c r="I29" s="34"/>
      <c r="J29" s="34"/>
      <c r="K29" s="34"/>
      <c r="L29" s="324">
        <v>0.21</v>
      </c>
      <c r="M29" s="323"/>
      <c r="N29" s="323"/>
      <c r="O29" s="323"/>
      <c r="P29" s="323"/>
      <c r="Q29" s="34"/>
      <c r="R29" s="34"/>
      <c r="S29" s="34"/>
      <c r="T29" s="34"/>
      <c r="U29" s="34"/>
      <c r="V29" s="34"/>
      <c r="W29" s="322">
        <f>AK26</f>
        <v>0</v>
      </c>
      <c r="X29" s="323"/>
      <c r="Y29" s="323"/>
      <c r="Z29" s="323"/>
      <c r="AA29" s="323"/>
      <c r="AB29" s="323"/>
      <c r="AC29" s="323"/>
      <c r="AD29" s="323"/>
      <c r="AE29" s="323"/>
      <c r="AF29" s="34"/>
      <c r="AG29" s="34"/>
      <c r="AH29" s="34"/>
      <c r="AI29" s="34"/>
      <c r="AJ29" s="34"/>
      <c r="AK29" s="322">
        <f>W29*0.21</f>
        <v>0</v>
      </c>
      <c r="AL29" s="323"/>
      <c r="AM29" s="323"/>
      <c r="AN29" s="323"/>
      <c r="AO29" s="323"/>
      <c r="AP29" s="34"/>
      <c r="AQ29" s="34"/>
      <c r="AR29" s="35"/>
    </row>
    <row r="30" spans="2:44" s="3" customFormat="1" ht="14.45" customHeight="1">
      <c r="B30" s="33"/>
      <c r="C30" s="34"/>
      <c r="D30" s="34"/>
      <c r="E30" s="34"/>
      <c r="F30" s="24" t="s">
        <v>34</v>
      </c>
      <c r="G30" s="34"/>
      <c r="H30" s="34"/>
      <c r="I30" s="34"/>
      <c r="J30" s="34"/>
      <c r="K30" s="34"/>
      <c r="L30" s="324">
        <v>0.15</v>
      </c>
      <c r="M30" s="323"/>
      <c r="N30" s="323"/>
      <c r="O30" s="323"/>
      <c r="P30" s="323"/>
      <c r="Q30" s="34"/>
      <c r="R30" s="34"/>
      <c r="S30" s="34"/>
      <c r="T30" s="34"/>
      <c r="U30" s="34"/>
      <c r="V30" s="34"/>
      <c r="W30" s="322">
        <v>0</v>
      </c>
      <c r="X30" s="323"/>
      <c r="Y30" s="323"/>
      <c r="Z30" s="323"/>
      <c r="AA30" s="323"/>
      <c r="AB30" s="323"/>
      <c r="AC30" s="323"/>
      <c r="AD30" s="323"/>
      <c r="AE30" s="323"/>
      <c r="AF30" s="34"/>
      <c r="AG30" s="34"/>
      <c r="AH30" s="34"/>
      <c r="AI30" s="34"/>
      <c r="AJ30" s="34"/>
      <c r="AK30" s="322">
        <f>W30</f>
        <v>0</v>
      </c>
      <c r="AL30" s="323"/>
      <c r="AM30" s="323"/>
      <c r="AN30" s="323"/>
      <c r="AO30" s="323"/>
      <c r="AP30" s="34"/>
      <c r="AQ30" s="34"/>
      <c r="AR30" s="35"/>
    </row>
    <row r="31" spans="2:44" s="3" customFormat="1" ht="14.45" customHeight="1" hidden="1">
      <c r="B31" s="33"/>
      <c r="C31" s="34"/>
      <c r="D31" s="34"/>
      <c r="E31" s="34"/>
      <c r="F31" s="24" t="s">
        <v>35</v>
      </c>
      <c r="G31" s="34"/>
      <c r="H31" s="34"/>
      <c r="I31" s="34"/>
      <c r="J31" s="34"/>
      <c r="K31" s="34"/>
      <c r="L31" s="324">
        <v>0.21</v>
      </c>
      <c r="M31" s="323"/>
      <c r="N31" s="323"/>
      <c r="O31" s="323"/>
      <c r="P31" s="323"/>
      <c r="Q31" s="34"/>
      <c r="R31" s="34"/>
      <c r="S31" s="34"/>
      <c r="T31" s="34"/>
      <c r="U31" s="34"/>
      <c r="V31" s="34"/>
      <c r="W31" s="322" t="e">
        <f>ROUND(BB94,2)</f>
        <v>#REF!</v>
      </c>
      <c r="X31" s="323"/>
      <c r="Y31" s="323"/>
      <c r="Z31" s="323"/>
      <c r="AA31" s="323"/>
      <c r="AB31" s="323"/>
      <c r="AC31" s="323"/>
      <c r="AD31" s="323"/>
      <c r="AE31" s="323"/>
      <c r="AF31" s="34"/>
      <c r="AG31" s="34"/>
      <c r="AH31" s="34"/>
      <c r="AI31" s="34"/>
      <c r="AJ31" s="34"/>
      <c r="AK31" s="322">
        <v>0</v>
      </c>
      <c r="AL31" s="323"/>
      <c r="AM31" s="323"/>
      <c r="AN31" s="323"/>
      <c r="AO31" s="323"/>
      <c r="AP31" s="34"/>
      <c r="AQ31" s="34"/>
      <c r="AR31" s="35"/>
    </row>
    <row r="32" spans="2:44" s="3" customFormat="1" ht="14.45" customHeight="1" hidden="1">
      <c r="B32" s="33"/>
      <c r="C32" s="34"/>
      <c r="D32" s="34"/>
      <c r="E32" s="34"/>
      <c r="F32" s="24" t="s">
        <v>36</v>
      </c>
      <c r="G32" s="34"/>
      <c r="H32" s="34"/>
      <c r="I32" s="34"/>
      <c r="J32" s="34"/>
      <c r="K32" s="34"/>
      <c r="L32" s="324">
        <v>0.15</v>
      </c>
      <c r="M32" s="323"/>
      <c r="N32" s="323"/>
      <c r="O32" s="323"/>
      <c r="P32" s="323"/>
      <c r="Q32" s="34"/>
      <c r="R32" s="34"/>
      <c r="S32" s="34"/>
      <c r="T32" s="34"/>
      <c r="U32" s="34"/>
      <c r="V32" s="34"/>
      <c r="W32" s="322" t="e">
        <f>ROUND(BC94,2)</f>
        <v>#REF!</v>
      </c>
      <c r="X32" s="323"/>
      <c r="Y32" s="323"/>
      <c r="Z32" s="323"/>
      <c r="AA32" s="323"/>
      <c r="AB32" s="323"/>
      <c r="AC32" s="323"/>
      <c r="AD32" s="323"/>
      <c r="AE32" s="323"/>
      <c r="AF32" s="34"/>
      <c r="AG32" s="34"/>
      <c r="AH32" s="34"/>
      <c r="AI32" s="34"/>
      <c r="AJ32" s="34"/>
      <c r="AK32" s="322">
        <v>0</v>
      </c>
      <c r="AL32" s="323"/>
      <c r="AM32" s="323"/>
      <c r="AN32" s="323"/>
      <c r="AO32" s="323"/>
      <c r="AP32" s="34"/>
      <c r="AQ32" s="34"/>
      <c r="AR32" s="35"/>
    </row>
    <row r="33" spans="2:44" s="3" customFormat="1" ht="14.45" customHeight="1" hidden="1">
      <c r="B33" s="33"/>
      <c r="C33" s="34"/>
      <c r="D33" s="34"/>
      <c r="E33" s="34"/>
      <c r="F33" s="24" t="s">
        <v>37</v>
      </c>
      <c r="G33" s="34"/>
      <c r="H33" s="34"/>
      <c r="I33" s="34"/>
      <c r="J33" s="34"/>
      <c r="K33" s="34"/>
      <c r="L33" s="324">
        <v>0</v>
      </c>
      <c r="M33" s="323"/>
      <c r="N33" s="323"/>
      <c r="O33" s="323"/>
      <c r="P33" s="323"/>
      <c r="Q33" s="34"/>
      <c r="R33" s="34"/>
      <c r="S33" s="34"/>
      <c r="T33" s="34"/>
      <c r="U33" s="34"/>
      <c r="V33" s="34"/>
      <c r="W33" s="322" t="e">
        <f>ROUND(BD94,2)</f>
        <v>#REF!</v>
      </c>
      <c r="X33" s="323"/>
      <c r="Y33" s="323"/>
      <c r="Z33" s="323"/>
      <c r="AA33" s="323"/>
      <c r="AB33" s="323"/>
      <c r="AC33" s="323"/>
      <c r="AD33" s="323"/>
      <c r="AE33" s="323"/>
      <c r="AF33" s="34"/>
      <c r="AG33" s="34"/>
      <c r="AH33" s="34"/>
      <c r="AI33" s="34"/>
      <c r="AJ33" s="34"/>
      <c r="AK33" s="322">
        <v>0</v>
      </c>
      <c r="AL33" s="323"/>
      <c r="AM33" s="323"/>
      <c r="AN33" s="323"/>
      <c r="AO33" s="323"/>
      <c r="AP33" s="34"/>
      <c r="AQ33" s="34"/>
      <c r="AR33" s="35"/>
    </row>
    <row r="34" spans="1:57" s="2" customFormat="1" ht="6.95" customHeight="1">
      <c r="A34" s="27"/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2"/>
      <c r="BE34" s="27"/>
    </row>
    <row r="35" spans="1:57" s="2" customFormat="1" ht="25.9" customHeight="1">
      <c r="A35" s="27"/>
      <c r="B35" s="28"/>
      <c r="C35" s="36"/>
      <c r="D35" s="37" t="s">
        <v>38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39</v>
      </c>
      <c r="U35" s="38"/>
      <c r="V35" s="38"/>
      <c r="W35" s="38"/>
      <c r="X35" s="325" t="s">
        <v>40</v>
      </c>
      <c r="Y35" s="326"/>
      <c r="Z35" s="326"/>
      <c r="AA35" s="326"/>
      <c r="AB35" s="326"/>
      <c r="AC35" s="38"/>
      <c r="AD35" s="38"/>
      <c r="AE35" s="38"/>
      <c r="AF35" s="38"/>
      <c r="AG35" s="38"/>
      <c r="AH35" s="38"/>
      <c r="AI35" s="38"/>
      <c r="AJ35" s="38"/>
      <c r="AK35" s="327">
        <f>SUM(AK26:AK33)</f>
        <v>0</v>
      </c>
      <c r="AL35" s="326"/>
      <c r="AM35" s="326"/>
      <c r="AN35" s="326"/>
      <c r="AO35" s="328"/>
      <c r="AP35" s="36"/>
      <c r="AQ35" s="36"/>
      <c r="AR35" s="32"/>
      <c r="BE35" s="27"/>
    </row>
    <row r="36" spans="1:57" s="2" customFormat="1" ht="6.95" customHeight="1">
      <c r="A36" s="27"/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2"/>
      <c r="BE36" s="27"/>
    </row>
    <row r="37" spans="1:57" s="2" customFormat="1" ht="14.45" customHeight="1">
      <c r="A37" s="27"/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2"/>
      <c r="BE37" s="27"/>
    </row>
    <row r="38" spans="2:44" s="1" customFormat="1" ht="14.45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spans="2:44" s="1" customFormat="1" ht="14.45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spans="2:44" s="1" customFormat="1" ht="14.45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spans="2:44" s="1" customFormat="1" ht="14.45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spans="2:44" s="1" customFormat="1" ht="14.45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spans="2:44" s="1" customFormat="1" ht="14.45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spans="2:44" s="1" customFormat="1" ht="14.45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spans="2:44" s="1" customFormat="1" ht="14.45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spans="2:44" s="1" customFormat="1" ht="14.45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spans="2:44" s="1" customFormat="1" ht="14.45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spans="2:44" s="1" customFormat="1" ht="14.45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pans="2:44" s="2" customFormat="1" ht="14.45" customHeight="1">
      <c r="B49" s="40"/>
      <c r="C49" s="41"/>
      <c r="D49" s="42" t="s">
        <v>41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42</v>
      </c>
      <c r="AI49" s="43"/>
      <c r="AJ49" s="43"/>
      <c r="AK49" s="43"/>
      <c r="AL49" s="43"/>
      <c r="AM49" s="43"/>
      <c r="AN49" s="43"/>
      <c r="AO49" s="43"/>
      <c r="AP49" s="41"/>
      <c r="AQ49" s="41"/>
      <c r="AR49" s="44"/>
    </row>
    <row r="50" spans="2:44" ht="12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 spans="2:44" ht="12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 spans="2:44" ht="12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 spans="2:44" ht="12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 spans="2:44" ht="12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 spans="2:44" ht="12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 spans="2:44" ht="12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 spans="2:44" ht="12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 spans="2:44" ht="12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 spans="2:44" ht="12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pans="1:57" s="2" customFormat="1" ht="12.75">
      <c r="A60" s="27"/>
      <c r="B60" s="28"/>
      <c r="C60" s="29"/>
      <c r="D60" s="45" t="s">
        <v>43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5" t="s">
        <v>44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5" t="s">
        <v>43</v>
      </c>
      <c r="AI60" s="31"/>
      <c r="AJ60" s="31"/>
      <c r="AK60" s="31"/>
      <c r="AL60" s="31"/>
      <c r="AM60" s="45" t="s">
        <v>44</v>
      </c>
      <c r="AN60" s="31"/>
      <c r="AO60" s="31"/>
      <c r="AP60" s="29"/>
      <c r="AQ60" s="29"/>
      <c r="AR60" s="32"/>
      <c r="BE60" s="27"/>
    </row>
    <row r="61" spans="2:44" ht="12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 spans="2:44" ht="12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 spans="2:44" ht="12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pans="1:57" s="2" customFormat="1" ht="12.75">
      <c r="A64" s="27"/>
      <c r="B64" s="28"/>
      <c r="C64" s="29"/>
      <c r="D64" s="42" t="s">
        <v>45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2" t="s">
        <v>46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2"/>
      <c r="BE64" s="27"/>
    </row>
    <row r="65" spans="2:44" ht="12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 spans="2:44" ht="12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 spans="2:44" ht="12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 spans="2:44" ht="12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 spans="2:44" ht="12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 spans="2:44" ht="12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 spans="2:44" ht="12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 spans="2:44" ht="12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 spans="2:44" ht="12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 spans="2:44" ht="12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pans="1:57" s="2" customFormat="1" ht="12.75">
      <c r="A75" s="27"/>
      <c r="B75" s="28"/>
      <c r="C75" s="29"/>
      <c r="D75" s="45" t="s">
        <v>43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5" t="s">
        <v>44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5" t="s">
        <v>43</v>
      </c>
      <c r="AI75" s="31"/>
      <c r="AJ75" s="31"/>
      <c r="AK75" s="31"/>
      <c r="AL75" s="31"/>
      <c r="AM75" s="45" t="s">
        <v>44</v>
      </c>
      <c r="AN75" s="31"/>
      <c r="AO75" s="31"/>
      <c r="AP75" s="29"/>
      <c r="AQ75" s="29"/>
      <c r="AR75" s="32"/>
      <c r="BE75" s="27"/>
    </row>
    <row r="76" spans="1:57" s="2" customFormat="1" ht="12">
      <c r="A76" s="27"/>
      <c r="B76" s="28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2"/>
      <c r="BE76" s="27"/>
    </row>
    <row r="77" spans="1:57" s="2" customFormat="1" ht="6.95" customHeight="1">
      <c r="A77" s="27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2"/>
      <c r="BE77" s="27"/>
    </row>
    <row r="81" spans="1:57" s="2" customFormat="1" ht="6.95" customHeight="1">
      <c r="A81" s="27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2"/>
      <c r="BE81" s="27"/>
    </row>
    <row r="82" spans="1:57" s="2" customFormat="1" ht="24.95" customHeight="1">
      <c r="A82" s="27"/>
      <c r="B82" s="28"/>
      <c r="C82" s="19" t="s">
        <v>47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2"/>
      <c r="BE82" s="27"/>
    </row>
    <row r="83" spans="1:57" s="2" customFormat="1" ht="6.95" customHeight="1">
      <c r="A83" s="27"/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2"/>
      <c r="BE83" s="27"/>
    </row>
    <row r="84" spans="2:44" s="4" customFormat="1" ht="12" customHeight="1">
      <c r="B84" s="51"/>
      <c r="C84" s="24" t="s">
        <v>12</v>
      </c>
      <c r="D84" s="52"/>
      <c r="E84" s="52"/>
      <c r="F84" s="52"/>
      <c r="G84" s="52"/>
      <c r="H84" s="52"/>
      <c r="I84" s="52"/>
      <c r="J84" s="52"/>
      <c r="K84" s="52"/>
      <c r="L84" s="52" t="str">
        <f>K5</f>
        <v>20-030</v>
      </c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3"/>
    </row>
    <row r="85" spans="2:44" s="5" customFormat="1" ht="36.95" customHeight="1">
      <c r="B85" s="54"/>
      <c r="C85" s="55" t="s">
        <v>13</v>
      </c>
      <c r="D85" s="56"/>
      <c r="E85" s="56"/>
      <c r="F85" s="56"/>
      <c r="G85" s="56"/>
      <c r="H85" s="56"/>
      <c r="I85" s="56"/>
      <c r="J85" s="56"/>
      <c r="K85" s="56"/>
      <c r="L85" s="330" t="str">
        <f>K6</f>
        <v>ZŠ DR. PEŠKA CHRUDIM - REKONSTRUKCE ŠKOLNÍ KUCHYNĚ - SO01</v>
      </c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  <c r="AG85" s="331"/>
      <c r="AH85" s="331"/>
      <c r="AI85" s="331"/>
      <c r="AJ85" s="331"/>
      <c r="AK85" s="331"/>
      <c r="AL85" s="331"/>
      <c r="AM85" s="331"/>
      <c r="AN85" s="331"/>
      <c r="AO85" s="331"/>
      <c r="AP85" s="56"/>
      <c r="AQ85" s="56"/>
      <c r="AR85" s="57"/>
    </row>
    <row r="86" spans="1:57" s="2" customFormat="1" ht="6.95" customHeight="1">
      <c r="A86" s="27"/>
      <c r="B86" s="28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2"/>
      <c r="BE86" s="27"/>
    </row>
    <row r="87" spans="1:57" s="2" customFormat="1" ht="12" customHeight="1">
      <c r="A87" s="27"/>
      <c r="B87" s="28"/>
      <c r="C87" s="24" t="s">
        <v>16</v>
      </c>
      <c r="D87" s="29"/>
      <c r="E87" s="29"/>
      <c r="F87" s="29"/>
      <c r="G87" s="29"/>
      <c r="H87" s="29"/>
      <c r="I87" s="29"/>
      <c r="J87" s="29"/>
      <c r="K87" s="29"/>
      <c r="L87" s="58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18</v>
      </c>
      <c r="AJ87" s="29"/>
      <c r="AK87" s="29"/>
      <c r="AL87" s="29"/>
      <c r="AM87" s="332">
        <f>IF(AN8="","",AN8)</f>
        <v>44074</v>
      </c>
      <c r="AN87" s="332"/>
      <c r="AO87" s="29"/>
      <c r="AP87" s="29"/>
      <c r="AQ87" s="29"/>
      <c r="AR87" s="32"/>
      <c r="BE87" s="27"/>
    </row>
    <row r="88" spans="1:57" s="2" customFormat="1" ht="6.95" customHeight="1">
      <c r="A88" s="27"/>
      <c r="B88" s="28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2"/>
      <c r="BE88" s="27"/>
    </row>
    <row r="89" spans="1:57" s="2" customFormat="1" ht="15.2" customHeight="1">
      <c r="A89" s="27"/>
      <c r="B89" s="28"/>
      <c r="C89" s="24" t="s">
        <v>19</v>
      </c>
      <c r="D89" s="29"/>
      <c r="E89" s="29"/>
      <c r="F89" s="29"/>
      <c r="G89" s="29"/>
      <c r="H89" s="29"/>
      <c r="I89" s="29"/>
      <c r="J89" s="29"/>
      <c r="K89" s="29"/>
      <c r="L89" s="52" t="str">
        <f>IF(E11="","",E11)</f>
        <v>MĚSTO CHRUDIM, RESSELOVO NÁMĚSTÍ 77, 53716 CHRUDIM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24</v>
      </c>
      <c r="AJ89" s="29"/>
      <c r="AK89" s="29"/>
      <c r="AL89" s="29"/>
      <c r="AM89" s="305" t="str">
        <f>IF(E17="","",E17)</f>
        <v/>
      </c>
      <c r="AN89" s="306"/>
      <c r="AO89" s="306"/>
      <c r="AP89" s="306"/>
      <c r="AQ89" s="29"/>
      <c r="AR89" s="32"/>
      <c r="AS89" s="299" t="s">
        <v>48</v>
      </c>
      <c r="AT89" s="300"/>
      <c r="AU89" s="60"/>
      <c r="AV89" s="60"/>
      <c r="AW89" s="60"/>
      <c r="AX89" s="60"/>
      <c r="AY89" s="60"/>
      <c r="AZ89" s="60"/>
      <c r="BA89" s="60"/>
      <c r="BB89" s="60"/>
      <c r="BC89" s="60"/>
      <c r="BD89" s="61"/>
      <c r="BE89" s="27"/>
    </row>
    <row r="90" spans="1:57" s="2" customFormat="1" ht="15.2" customHeight="1">
      <c r="A90" s="27"/>
      <c r="B90" s="28"/>
      <c r="C90" s="24" t="s">
        <v>22</v>
      </c>
      <c r="D90" s="29"/>
      <c r="E90" s="29"/>
      <c r="F90" s="29"/>
      <c r="G90" s="29"/>
      <c r="H90" s="29"/>
      <c r="I90" s="29"/>
      <c r="J90" s="29"/>
      <c r="K90" s="29"/>
      <c r="L90" s="52" t="str">
        <f>IF(E14="","",E14)</f>
        <v>Dle výběrového řízení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26</v>
      </c>
      <c r="AJ90" s="29"/>
      <c r="AK90" s="29"/>
      <c r="AL90" s="29"/>
      <c r="AM90" s="305" t="str">
        <f>IF(E20="","",E20)</f>
        <v/>
      </c>
      <c r="AN90" s="306"/>
      <c r="AO90" s="306"/>
      <c r="AP90" s="306"/>
      <c r="AQ90" s="29"/>
      <c r="AR90" s="32"/>
      <c r="AS90" s="301"/>
      <c r="AT90" s="302"/>
      <c r="AU90" s="62"/>
      <c r="AV90" s="62"/>
      <c r="AW90" s="62"/>
      <c r="AX90" s="62"/>
      <c r="AY90" s="62"/>
      <c r="AZ90" s="62"/>
      <c r="BA90" s="62"/>
      <c r="BB90" s="62"/>
      <c r="BC90" s="62"/>
      <c r="BD90" s="63"/>
      <c r="BE90" s="27"/>
    </row>
    <row r="91" spans="1:57" s="2" customFormat="1" ht="10.9" customHeight="1">
      <c r="A91" s="27"/>
      <c r="B91" s="28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2"/>
      <c r="AS91" s="303"/>
      <c r="AT91" s="304"/>
      <c r="AU91" s="64"/>
      <c r="AV91" s="64"/>
      <c r="AW91" s="64"/>
      <c r="AX91" s="64"/>
      <c r="AY91" s="64"/>
      <c r="AZ91" s="64"/>
      <c r="BA91" s="64"/>
      <c r="BB91" s="64"/>
      <c r="BC91" s="64"/>
      <c r="BD91" s="65"/>
      <c r="BE91" s="27"/>
    </row>
    <row r="92" spans="1:57" s="2" customFormat="1" ht="29.25" customHeight="1">
      <c r="A92" s="27"/>
      <c r="B92" s="28"/>
      <c r="C92" s="329" t="s">
        <v>49</v>
      </c>
      <c r="D92" s="308"/>
      <c r="E92" s="308"/>
      <c r="F92" s="308"/>
      <c r="G92" s="308"/>
      <c r="H92" s="66"/>
      <c r="I92" s="307" t="s">
        <v>50</v>
      </c>
      <c r="J92" s="308"/>
      <c r="K92" s="308"/>
      <c r="L92" s="308"/>
      <c r="M92" s="308"/>
      <c r="N92" s="308"/>
      <c r="O92" s="308"/>
      <c r="P92" s="308"/>
      <c r="Q92" s="308"/>
      <c r="R92" s="308"/>
      <c r="S92" s="308"/>
      <c r="T92" s="308"/>
      <c r="U92" s="308"/>
      <c r="V92" s="308"/>
      <c r="W92" s="308"/>
      <c r="X92" s="308"/>
      <c r="Y92" s="308"/>
      <c r="Z92" s="308"/>
      <c r="AA92" s="308"/>
      <c r="AB92" s="308"/>
      <c r="AC92" s="308"/>
      <c r="AD92" s="308"/>
      <c r="AE92" s="308"/>
      <c r="AF92" s="308"/>
      <c r="AG92" s="333" t="s">
        <v>51</v>
      </c>
      <c r="AH92" s="308"/>
      <c r="AI92" s="308"/>
      <c r="AJ92" s="308"/>
      <c r="AK92" s="308"/>
      <c r="AL92" s="308"/>
      <c r="AM92" s="308"/>
      <c r="AN92" s="307" t="s">
        <v>52</v>
      </c>
      <c r="AO92" s="308"/>
      <c r="AP92" s="309"/>
      <c r="AQ92" s="67" t="s">
        <v>53</v>
      </c>
      <c r="AR92" s="32"/>
      <c r="AS92" s="68" t="s">
        <v>54</v>
      </c>
      <c r="AT92" s="69" t="s">
        <v>55</v>
      </c>
      <c r="AU92" s="69" t="s">
        <v>56</v>
      </c>
      <c r="AV92" s="69" t="s">
        <v>57</v>
      </c>
      <c r="AW92" s="69" t="s">
        <v>58</v>
      </c>
      <c r="AX92" s="69" t="s">
        <v>59</v>
      </c>
      <c r="AY92" s="69" t="s">
        <v>60</v>
      </c>
      <c r="AZ92" s="69" t="s">
        <v>61</v>
      </c>
      <c r="BA92" s="69" t="s">
        <v>62</v>
      </c>
      <c r="BB92" s="69" t="s">
        <v>63</v>
      </c>
      <c r="BC92" s="69" t="s">
        <v>64</v>
      </c>
      <c r="BD92" s="70" t="s">
        <v>65</v>
      </c>
      <c r="BE92" s="27"/>
    </row>
    <row r="93" spans="1:57" s="2" customFormat="1" ht="10.9" customHeight="1">
      <c r="A93" s="27"/>
      <c r="B93" s="28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2"/>
      <c r="AS93" s="71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3"/>
      <c r="BE93" s="27"/>
    </row>
    <row r="94" spans="2:90" s="6" customFormat="1" ht="32.45" customHeight="1">
      <c r="B94" s="74"/>
      <c r="C94" s="75" t="s">
        <v>66</v>
      </c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312">
        <f>ROUND(SUM(AG95:AG98),2)</f>
        <v>0</v>
      </c>
      <c r="AH94" s="312"/>
      <c r="AI94" s="312"/>
      <c r="AJ94" s="312"/>
      <c r="AK94" s="312"/>
      <c r="AL94" s="312"/>
      <c r="AM94" s="312"/>
      <c r="AN94" s="313">
        <f>AN98</f>
        <v>0</v>
      </c>
      <c r="AO94" s="313"/>
      <c r="AP94" s="313"/>
      <c r="AQ94" s="78" t="s">
        <v>1</v>
      </c>
      <c r="AR94" s="79"/>
      <c r="AS94" s="80">
        <f>ROUND(SUM(AS95:AS98),2)</f>
        <v>0</v>
      </c>
      <c r="AT94" s="81" t="e">
        <f>ROUND(SUM(AV94:AW94),2)</f>
        <v>#REF!</v>
      </c>
      <c r="AU94" s="82" t="e">
        <f>ROUND(SUM(AU95:AU98),5)</f>
        <v>#REF!</v>
      </c>
      <c r="AV94" s="81" t="e">
        <f>ROUND(AZ94*L29,2)</f>
        <v>#REF!</v>
      </c>
      <c r="AW94" s="81" t="e">
        <f>ROUND(BA94*L30,2)</f>
        <v>#REF!</v>
      </c>
      <c r="AX94" s="81" t="e">
        <f>ROUND(BB94*L29,2)</f>
        <v>#REF!</v>
      </c>
      <c r="AY94" s="81" t="e">
        <f>ROUND(BC94*L30,2)</f>
        <v>#REF!</v>
      </c>
      <c r="AZ94" s="81" t="e">
        <f>ROUND(SUM(AZ95:AZ98),2)</f>
        <v>#REF!</v>
      </c>
      <c r="BA94" s="81" t="e">
        <f>ROUND(SUM(BA95:BA98),2)</f>
        <v>#REF!</v>
      </c>
      <c r="BB94" s="81" t="e">
        <f>ROUND(SUM(BB95:BB98),2)</f>
        <v>#REF!</v>
      </c>
      <c r="BC94" s="81" t="e">
        <f>ROUND(SUM(BC95:BC98),2)</f>
        <v>#REF!</v>
      </c>
      <c r="BD94" s="83" t="e">
        <f>ROUND(SUM(BD95:BD98),2)</f>
        <v>#REF!</v>
      </c>
      <c r="BS94" s="84" t="s">
        <v>67</v>
      </c>
      <c r="BT94" s="84" t="s">
        <v>68</v>
      </c>
      <c r="BU94" s="85" t="s">
        <v>69</v>
      </c>
      <c r="BV94" s="84" t="s">
        <v>70</v>
      </c>
      <c r="BW94" s="84" t="s">
        <v>5</v>
      </c>
      <c r="BX94" s="84" t="s">
        <v>71</v>
      </c>
      <c r="CL94" s="84" t="s">
        <v>1</v>
      </c>
    </row>
    <row r="95" spans="1:91" s="7" customFormat="1" ht="16.5" customHeight="1">
      <c r="A95" s="86"/>
      <c r="B95" s="87"/>
      <c r="C95" s="88"/>
      <c r="D95" s="334"/>
      <c r="E95" s="334"/>
      <c r="F95" s="334"/>
      <c r="G95" s="334"/>
      <c r="H95" s="334"/>
      <c r="I95" s="89"/>
      <c r="J95" s="334"/>
      <c r="K95" s="334"/>
      <c r="L95" s="334"/>
      <c r="M95" s="334"/>
      <c r="N95" s="334"/>
      <c r="O95" s="334"/>
      <c r="P95" s="334"/>
      <c r="Q95" s="334"/>
      <c r="R95" s="334"/>
      <c r="S95" s="334"/>
      <c r="T95" s="334"/>
      <c r="U95" s="334"/>
      <c r="V95" s="334"/>
      <c r="W95" s="334"/>
      <c r="X95" s="334"/>
      <c r="Y95" s="334"/>
      <c r="Z95" s="334"/>
      <c r="AA95" s="334"/>
      <c r="AB95" s="334"/>
      <c r="AC95" s="334"/>
      <c r="AD95" s="334"/>
      <c r="AE95" s="334"/>
      <c r="AF95" s="334"/>
      <c r="AG95" s="310"/>
      <c r="AH95" s="311"/>
      <c r="AI95" s="311"/>
      <c r="AJ95" s="311"/>
      <c r="AK95" s="311"/>
      <c r="AL95" s="311"/>
      <c r="AM95" s="311"/>
      <c r="AN95" s="310"/>
      <c r="AO95" s="311"/>
      <c r="AP95" s="311"/>
      <c r="AQ95" s="90" t="s">
        <v>72</v>
      </c>
      <c r="AR95" s="91"/>
      <c r="AS95" s="92">
        <v>0</v>
      </c>
      <c r="AT95" s="93" t="e">
        <f>ROUND(SUM(AV95:AW95),2)</f>
        <v>#REF!</v>
      </c>
      <c r="AU95" s="94" t="e">
        <f>#REF!</f>
        <v>#REF!</v>
      </c>
      <c r="AV95" s="93" t="e">
        <f>#REF!</f>
        <v>#REF!</v>
      </c>
      <c r="AW95" s="93" t="e">
        <f>#REF!</f>
        <v>#REF!</v>
      </c>
      <c r="AX95" s="93" t="e">
        <f>#REF!</f>
        <v>#REF!</v>
      </c>
      <c r="AY95" s="93" t="e">
        <f>#REF!</f>
        <v>#REF!</v>
      </c>
      <c r="AZ95" s="93" t="e">
        <f>#REF!</f>
        <v>#REF!</v>
      </c>
      <c r="BA95" s="93" t="e">
        <f>#REF!</f>
        <v>#REF!</v>
      </c>
      <c r="BB95" s="93" t="e">
        <f>#REF!</f>
        <v>#REF!</v>
      </c>
      <c r="BC95" s="93" t="e">
        <f>#REF!</f>
        <v>#REF!</v>
      </c>
      <c r="BD95" s="95" t="e">
        <f>#REF!</f>
        <v>#REF!</v>
      </c>
      <c r="BT95" s="96" t="s">
        <v>73</v>
      </c>
      <c r="BV95" s="96" t="s">
        <v>70</v>
      </c>
      <c r="BW95" s="96" t="s">
        <v>74</v>
      </c>
      <c r="BX95" s="96" t="s">
        <v>5</v>
      </c>
      <c r="CL95" s="96" t="s">
        <v>1</v>
      </c>
      <c r="CM95" s="96" t="s">
        <v>75</v>
      </c>
    </row>
    <row r="96" spans="1:91" s="7" customFormat="1" ht="16.5" customHeight="1">
      <c r="A96" s="86"/>
      <c r="B96" s="87"/>
      <c r="C96" s="88"/>
      <c r="D96" s="334"/>
      <c r="E96" s="334"/>
      <c r="F96" s="334"/>
      <c r="G96" s="334"/>
      <c r="H96" s="334"/>
      <c r="I96" s="89"/>
      <c r="J96" s="334"/>
      <c r="K96" s="334"/>
      <c r="L96" s="334"/>
      <c r="M96" s="334"/>
      <c r="N96" s="334"/>
      <c r="O96" s="334"/>
      <c r="P96" s="334"/>
      <c r="Q96" s="334"/>
      <c r="R96" s="334"/>
      <c r="S96" s="334"/>
      <c r="T96" s="334"/>
      <c r="U96" s="334"/>
      <c r="V96" s="334"/>
      <c r="W96" s="334"/>
      <c r="X96" s="334"/>
      <c r="Y96" s="334"/>
      <c r="Z96" s="334"/>
      <c r="AA96" s="334"/>
      <c r="AB96" s="334"/>
      <c r="AC96" s="334"/>
      <c r="AD96" s="334"/>
      <c r="AE96" s="334"/>
      <c r="AF96" s="334"/>
      <c r="AG96" s="310"/>
      <c r="AH96" s="311"/>
      <c r="AI96" s="311"/>
      <c r="AJ96" s="311"/>
      <c r="AK96" s="311"/>
      <c r="AL96" s="311"/>
      <c r="AM96" s="311"/>
      <c r="AN96" s="310"/>
      <c r="AO96" s="311"/>
      <c r="AP96" s="311"/>
      <c r="AQ96" s="90" t="s">
        <v>72</v>
      </c>
      <c r="AR96" s="91"/>
      <c r="AS96" s="92">
        <v>0</v>
      </c>
      <c r="AT96" s="93" t="e">
        <f>ROUND(SUM(AV96:AW96),2)</f>
        <v>#REF!</v>
      </c>
      <c r="AU96" s="94" t="e">
        <f>#REF!</f>
        <v>#REF!</v>
      </c>
      <c r="AV96" s="93" t="e">
        <f>#REF!</f>
        <v>#REF!</v>
      </c>
      <c r="AW96" s="93" t="e">
        <f>#REF!</f>
        <v>#REF!</v>
      </c>
      <c r="AX96" s="93" t="e">
        <f>#REF!</f>
        <v>#REF!</v>
      </c>
      <c r="AY96" s="93" t="e">
        <f>#REF!</f>
        <v>#REF!</v>
      </c>
      <c r="AZ96" s="93" t="e">
        <f>#REF!</f>
        <v>#REF!</v>
      </c>
      <c r="BA96" s="93" t="e">
        <f>#REF!</f>
        <v>#REF!</v>
      </c>
      <c r="BB96" s="93" t="e">
        <f>#REF!</f>
        <v>#REF!</v>
      </c>
      <c r="BC96" s="93" t="e">
        <f>#REF!</f>
        <v>#REF!</v>
      </c>
      <c r="BD96" s="95" t="e">
        <f>#REF!</f>
        <v>#REF!</v>
      </c>
      <c r="BT96" s="96" t="s">
        <v>73</v>
      </c>
      <c r="BV96" s="96" t="s">
        <v>70</v>
      </c>
      <c r="BW96" s="96" t="s">
        <v>76</v>
      </c>
      <c r="BX96" s="96" t="s">
        <v>5</v>
      </c>
      <c r="CL96" s="96" t="s">
        <v>1</v>
      </c>
      <c r="CM96" s="96" t="s">
        <v>75</v>
      </c>
    </row>
    <row r="97" spans="1:91" s="7" customFormat="1" ht="16.5" customHeight="1">
      <c r="A97" s="86"/>
      <c r="B97" s="87"/>
      <c r="C97" s="88"/>
      <c r="D97" s="334"/>
      <c r="E97" s="334"/>
      <c r="F97" s="334"/>
      <c r="G97" s="334"/>
      <c r="H97" s="334"/>
      <c r="I97" s="89"/>
      <c r="J97" s="334"/>
      <c r="K97" s="334"/>
      <c r="L97" s="334"/>
      <c r="M97" s="334"/>
      <c r="N97" s="334"/>
      <c r="O97" s="334"/>
      <c r="P97" s="334"/>
      <c r="Q97" s="334"/>
      <c r="R97" s="334"/>
      <c r="S97" s="334"/>
      <c r="T97" s="334"/>
      <c r="U97" s="334"/>
      <c r="V97" s="334"/>
      <c r="W97" s="334"/>
      <c r="X97" s="334"/>
      <c r="Y97" s="334"/>
      <c r="Z97" s="334"/>
      <c r="AA97" s="334"/>
      <c r="AB97" s="334"/>
      <c r="AC97" s="334"/>
      <c r="AD97" s="334"/>
      <c r="AE97" s="334"/>
      <c r="AF97" s="334"/>
      <c r="AG97" s="310"/>
      <c r="AH97" s="311"/>
      <c r="AI97" s="311"/>
      <c r="AJ97" s="311"/>
      <c r="AK97" s="311"/>
      <c r="AL97" s="311"/>
      <c r="AM97" s="311"/>
      <c r="AN97" s="310"/>
      <c r="AO97" s="311"/>
      <c r="AP97" s="311"/>
      <c r="AQ97" s="90" t="s">
        <v>72</v>
      </c>
      <c r="AR97" s="91"/>
      <c r="AS97" s="92">
        <v>0</v>
      </c>
      <c r="AT97" s="93" t="e">
        <f>ROUND(SUM(AV97:AW97),2)</f>
        <v>#REF!</v>
      </c>
      <c r="AU97" s="94" t="e">
        <f>#REF!</f>
        <v>#REF!</v>
      </c>
      <c r="AV97" s="93" t="e">
        <f>#REF!</f>
        <v>#REF!</v>
      </c>
      <c r="AW97" s="93" t="e">
        <f>#REF!</f>
        <v>#REF!</v>
      </c>
      <c r="AX97" s="93" t="e">
        <f>#REF!</f>
        <v>#REF!</v>
      </c>
      <c r="AY97" s="93" t="e">
        <f>#REF!</f>
        <v>#REF!</v>
      </c>
      <c r="AZ97" s="93" t="e">
        <f>#REF!</f>
        <v>#REF!</v>
      </c>
      <c r="BA97" s="93" t="e">
        <f>#REF!</f>
        <v>#REF!</v>
      </c>
      <c r="BB97" s="93" t="e">
        <f>#REF!</f>
        <v>#REF!</v>
      </c>
      <c r="BC97" s="93" t="e">
        <f>#REF!</f>
        <v>#REF!</v>
      </c>
      <c r="BD97" s="95" t="e">
        <f>#REF!</f>
        <v>#REF!</v>
      </c>
      <c r="BT97" s="96" t="s">
        <v>73</v>
      </c>
      <c r="BV97" s="96" t="s">
        <v>70</v>
      </c>
      <c r="BW97" s="96" t="s">
        <v>77</v>
      </c>
      <c r="BX97" s="96" t="s">
        <v>5</v>
      </c>
      <c r="CL97" s="96" t="s">
        <v>1</v>
      </c>
      <c r="CM97" s="96" t="s">
        <v>75</v>
      </c>
    </row>
    <row r="98" spans="1:91" s="7" customFormat="1" ht="27" customHeight="1">
      <c r="A98" s="86"/>
      <c r="B98" s="87"/>
      <c r="C98" s="88"/>
      <c r="D98" s="334" t="s">
        <v>78</v>
      </c>
      <c r="E98" s="334"/>
      <c r="F98" s="334"/>
      <c r="G98" s="334"/>
      <c r="H98" s="334"/>
      <c r="I98" s="89"/>
      <c r="J98" s="334" t="s">
        <v>79</v>
      </c>
      <c r="K98" s="334"/>
      <c r="L98" s="334"/>
      <c r="M98" s="334"/>
      <c r="N98" s="334"/>
      <c r="O98" s="334"/>
      <c r="P98" s="334"/>
      <c r="Q98" s="334"/>
      <c r="R98" s="334"/>
      <c r="S98" s="334"/>
      <c r="T98" s="334"/>
      <c r="U98" s="334"/>
      <c r="V98" s="334"/>
      <c r="W98" s="334"/>
      <c r="X98" s="334"/>
      <c r="Y98" s="334"/>
      <c r="Z98" s="334"/>
      <c r="AA98" s="334"/>
      <c r="AB98" s="334"/>
      <c r="AC98" s="334"/>
      <c r="AD98" s="334"/>
      <c r="AE98" s="334"/>
      <c r="AF98" s="334"/>
      <c r="AG98" s="310">
        <f>'D.1.4.1-ZTI'!J30</f>
        <v>0</v>
      </c>
      <c r="AH98" s="311"/>
      <c r="AI98" s="311"/>
      <c r="AJ98" s="311"/>
      <c r="AK98" s="311"/>
      <c r="AL98" s="311"/>
      <c r="AM98" s="311"/>
      <c r="AN98" s="310">
        <f>SUM(AG98,AT98)</f>
        <v>0</v>
      </c>
      <c r="AO98" s="311"/>
      <c r="AP98" s="311"/>
      <c r="AQ98" s="90" t="s">
        <v>72</v>
      </c>
      <c r="AR98" s="91"/>
      <c r="AS98" s="97">
        <v>0</v>
      </c>
      <c r="AT98" s="98">
        <f>ROUND(SUM(AV98:AW98),2)</f>
        <v>0</v>
      </c>
      <c r="AU98" s="99" t="e">
        <f>'D.1.4.1-ZTI'!P124</f>
        <v>#REF!</v>
      </c>
      <c r="AV98" s="98">
        <f>'D.1.4.1-ZTI'!J33</f>
        <v>0</v>
      </c>
      <c r="AW98" s="98">
        <f>'D.1.4.1-ZTI'!J34</f>
        <v>0</v>
      </c>
      <c r="AX98" s="98">
        <f>'D.1.4.1-ZTI'!J35</f>
        <v>0</v>
      </c>
      <c r="AY98" s="98">
        <f>'D.1.4.1-ZTI'!J36</f>
        <v>0</v>
      </c>
      <c r="AZ98" s="98">
        <f>'D.1.4.1-ZTI'!F33</f>
        <v>0</v>
      </c>
      <c r="BA98" s="98">
        <f>'D.1.4.1-ZTI'!F34</f>
        <v>0</v>
      </c>
      <c r="BB98" s="98">
        <f>'D.1.4.1-ZTI'!F35</f>
        <v>0</v>
      </c>
      <c r="BC98" s="98">
        <f>'D.1.4.1-ZTI'!F36</f>
        <v>0</v>
      </c>
      <c r="BD98" s="100">
        <f>'D.1.4.1-ZTI'!F37</f>
        <v>0</v>
      </c>
      <c r="BT98" s="96" t="s">
        <v>73</v>
      </c>
      <c r="BV98" s="96" t="s">
        <v>70</v>
      </c>
      <c r="BW98" s="96" t="s">
        <v>80</v>
      </c>
      <c r="BX98" s="96" t="s">
        <v>5</v>
      </c>
      <c r="CL98" s="96" t="s">
        <v>1</v>
      </c>
      <c r="CM98" s="96" t="s">
        <v>75</v>
      </c>
    </row>
    <row r="99" spans="1:57" s="2" customFormat="1" ht="30" customHeight="1">
      <c r="A99" s="27"/>
      <c r="B99" s="28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32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</row>
    <row r="100" spans="1:57" s="2" customFormat="1" ht="6.95" customHeight="1">
      <c r="A100" s="27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32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</row>
  </sheetData>
  <mergeCells count="52">
    <mergeCell ref="D98:H98"/>
    <mergeCell ref="J98:AF98"/>
    <mergeCell ref="D95:H95"/>
    <mergeCell ref="J95:AF95"/>
    <mergeCell ref="D96:H96"/>
    <mergeCell ref="J96:AF96"/>
    <mergeCell ref="D97:H97"/>
    <mergeCell ref="J97:AF97"/>
    <mergeCell ref="X35:AB35"/>
    <mergeCell ref="AK35:AO35"/>
    <mergeCell ref="C92:G92"/>
    <mergeCell ref="L85:AO85"/>
    <mergeCell ref="AM87:AN87"/>
    <mergeCell ref="I92:AF92"/>
    <mergeCell ref="AG92:AM92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L28:P28"/>
    <mergeCell ref="W28:AE28"/>
    <mergeCell ref="AK28:AO28"/>
    <mergeCell ref="AK29:AO29"/>
    <mergeCell ref="L29:P29"/>
    <mergeCell ref="K5:AO5"/>
    <mergeCell ref="K6:AO6"/>
    <mergeCell ref="AR2:BE2"/>
    <mergeCell ref="E23:AN23"/>
    <mergeCell ref="AK26:AO26"/>
    <mergeCell ref="AN96:AP96"/>
    <mergeCell ref="AG96:AM96"/>
    <mergeCell ref="AN97:AP97"/>
    <mergeCell ref="AG97:AM97"/>
    <mergeCell ref="AN98:AP98"/>
    <mergeCell ref="AG98:AM98"/>
    <mergeCell ref="AS89:AT91"/>
    <mergeCell ref="AM89:AP89"/>
    <mergeCell ref="AM90:AP90"/>
    <mergeCell ref="AN92:AP92"/>
    <mergeCell ref="AN95:AP95"/>
    <mergeCell ref="AG95:AM95"/>
    <mergeCell ref="AG94:AM94"/>
    <mergeCell ref="AN94:AP94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4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36"/>
  <sheetViews>
    <sheetView showGridLines="0" workbookViewId="0" topLeftCell="A1">
      <selection activeCell="I435" sqref="I43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5.28125" style="1" customWidth="1"/>
    <col min="4" max="4" width="4.28125" style="1" customWidth="1"/>
    <col min="5" max="5" width="17.140625" style="1" customWidth="1"/>
    <col min="6" max="6" width="50.8515625" style="1" customWidth="1"/>
    <col min="7" max="7" width="8.8515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3" max="43" width="9.7109375" style="0" customWidth="1"/>
    <col min="44" max="44" width="3.421875" style="1" hidden="1" customWidth="1"/>
    <col min="45" max="45" width="9.140625" style="1" hidden="1" customWidth="1"/>
    <col min="46" max="46" width="38.28125" style="1" hidden="1" customWidth="1"/>
    <col min="47" max="47" width="2.8515625" style="1" hidden="1" customWidth="1"/>
    <col min="48" max="48" width="2.140625" style="1" hidden="1" customWidth="1"/>
    <col min="49" max="49" width="4.8515625" style="1" hidden="1" customWidth="1"/>
    <col min="50" max="50" width="2.140625" style="1" hidden="1" customWidth="1"/>
    <col min="51" max="51" width="10.28125" style="1" hidden="1" customWidth="1"/>
    <col min="52" max="56" width="9.7109375" style="1" hidden="1" customWidth="1"/>
    <col min="57" max="57" width="9.140625" style="1" hidden="1" customWidth="1"/>
    <col min="58" max="61" width="4.7109375" style="1" hidden="1" customWidth="1"/>
    <col min="62" max="62" width="2.140625" style="1" hidden="1" customWidth="1"/>
    <col min="63" max="63" width="10.140625" style="1" hidden="1" customWidth="1"/>
    <col min="64" max="64" width="3.140625" style="1" hidden="1" customWidth="1"/>
    <col min="65" max="65" width="13.7109375" style="1" hidden="1" customWidth="1"/>
    <col min="66" max="66" width="9.7109375" style="0" hidden="1" customWidth="1"/>
    <col min="67" max="82" width="9.140625" style="0" hidden="1" customWidth="1"/>
  </cols>
  <sheetData>
    <row r="1" ht="12">
      <c r="A1" s="18"/>
    </row>
    <row r="2" spans="12:46" s="1" customFormat="1" ht="36.95" customHeight="1"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13" t="s">
        <v>80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6"/>
      <c r="AT3" s="13" t="s">
        <v>75</v>
      </c>
    </row>
    <row r="4" spans="2:46" s="1" customFormat="1" ht="24.95" customHeight="1">
      <c r="B4" s="16"/>
      <c r="D4" s="103" t="s">
        <v>81</v>
      </c>
      <c r="L4" s="16"/>
      <c r="M4" s="104" t="s">
        <v>10</v>
      </c>
      <c r="AT4" s="13" t="s">
        <v>4</v>
      </c>
    </row>
    <row r="5" spans="2:12" s="1" customFormat="1" ht="6.95" customHeight="1">
      <c r="B5" s="16"/>
      <c r="L5" s="16"/>
    </row>
    <row r="6" spans="2:12" s="1" customFormat="1" ht="12" customHeight="1">
      <c r="B6" s="16"/>
      <c r="D6" s="105" t="s">
        <v>13</v>
      </c>
      <c r="L6" s="16"/>
    </row>
    <row r="7" spans="2:12" s="1" customFormat="1" ht="16.5" customHeight="1">
      <c r="B7" s="16"/>
      <c r="E7" s="338" t="str">
        <f>'Rekapitulace stavby'!K6</f>
        <v>ZŠ DR. PEŠKA CHRUDIM - REKONSTRUKCE ŠKOLNÍ KUCHYNĚ - SO01</v>
      </c>
      <c r="F7" s="339"/>
      <c r="G7" s="339"/>
      <c r="H7" s="339"/>
      <c r="L7" s="16"/>
    </row>
    <row r="8" spans="1:31" s="2" customFormat="1" ht="12" customHeight="1">
      <c r="A8" s="27"/>
      <c r="B8" s="32"/>
      <c r="C8" s="27"/>
      <c r="D8" s="105" t="s">
        <v>82</v>
      </c>
      <c r="E8" s="27"/>
      <c r="F8" s="27"/>
      <c r="G8" s="27"/>
      <c r="H8" s="27"/>
      <c r="I8" s="27"/>
      <c r="J8" s="27"/>
      <c r="K8" s="27"/>
      <c r="L8" s="44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 s="2" customFormat="1" ht="16.5" customHeight="1">
      <c r="A9" s="27"/>
      <c r="B9" s="32"/>
      <c r="C9" s="27"/>
      <c r="D9" s="27"/>
      <c r="E9" s="340" t="s">
        <v>132</v>
      </c>
      <c r="F9" s="341"/>
      <c r="G9" s="341"/>
      <c r="H9" s="341"/>
      <c r="I9" s="27"/>
      <c r="J9" s="27"/>
      <c r="K9" s="27"/>
      <c r="L9" s="44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2" customFormat="1" ht="12">
      <c r="A10" s="27"/>
      <c r="B10" s="32"/>
      <c r="C10" s="27"/>
      <c r="D10" s="27"/>
      <c r="E10" s="27"/>
      <c r="F10" s="27"/>
      <c r="G10" s="27"/>
      <c r="H10" s="27"/>
      <c r="I10" s="27"/>
      <c r="J10" s="27"/>
      <c r="K10" s="27"/>
      <c r="L10" s="44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2" customFormat="1" ht="12" customHeight="1">
      <c r="A11" s="27"/>
      <c r="B11" s="32"/>
      <c r="C11" s="27"/>
      <c r="D11" s="105" t="s">
        <v>14</v>
      </c>
      <c r="E11" s="27"/>
      <c r="F11" s="106" t="s">
        <v>1</v>
      </c>
      <c r="G11" s="27"/>
      <c r="H11" s="27"/>
      <c r="I11" s="105" t="s">
        <v>15</v>
      </c>
      <c r="J11" s="106" t="s">
        <v>1</v>
      </c>
      <c r="K11" s="27"/>
      <c r="L11" s="44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 customHeight="1">
      <c r="A12" s="27"/>
      <c r="B12" s="32"/>
      <c r="C12" s="27"/>
      <c r="D12" s="105" t="s">
        <v>16</v>
      </c>
      <c r="E12" s="27"/>
      <c r="F12" s="106" t="s">
        <v>17</v>
      </c>
      <c r="G12" s="27"/>
      <c r="H12" s="27"/>
      <c r="I12" s="105" t="s">
        <v>18</v>
      </c>
      <c r="J12" s="107">
        <f>'Rekapitulace stavby'!AN8</f>
        <v>44074</v>
      </c>
      <c r="K12" s="27"/>
      <c r="L12" s="44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0.9" customHeight="1">
      <c r="A13" s="27"/>
      <c r="B13" s="32"/>
      <c r="C13" s="27"/>
      <c r="D13" s="27"/>
      <c r="E13" s="27"/>
      <c r="F13" s="27"/>
      <c r="G13" s="27"/>
      <c r="H13" s="27"/>
      <c r="I13" s="27"/>
      <c r="J13" s="27"/>
      <c r="K13" s="27"/>
      <c r="L13" s="44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12" customHeight="1">
      <c r="A14" s="27"/>
      <c r="B14" s="32"/>
      <c r="C14" s="27"/>
      <c r="D14" s="105" t="s">
        <v>19</v>
      </c>
      <c r="E14" s="27"/>
      <c r="F14" s="27"/>
      <c r="G14" s="27"/>
      <c r="H14" s="27"/>
      <c r="I14" s="105" t="s">
        <v>20</v>
      </c>
      <c r="J14" s="106" t="str">
        <f>IF('Rekapitulace stavby'!AN10="","",'Rekapitulace stavby'!AN10)</f>
        <v/>
      </c>
      <c r="K14" s="27"/>
      <c r="L14" s="44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8" customHeight="1">
      <c r="A15" s="27"/>
      <c r="B15" s="32"/>
      <c r="C15" s="27"/>
      <c r="D15" s="27"/>
      <c r="E15" s="106" t="str">
        <f>IF('Rekapitulace stavby'!E11="","",'Rekapitulace stavby'!E11)</f>
        <v>MĚSTO CHRUDIM, RESSELOVO NÁMĚSTÍ 77, 53716 CHRUDIM</v>
      </c>
      <c r="F15" s="27"/>
      <c r="G15" s="27"/>
      <c r="H15" s="27"/>
      <c r="I15" s="105" t="s">
        <v>21</v>
      </c>
      <c r="J15" s="106" t="str">
        <f>IF('Rekapitulace stavby'!AN11="","",'Rekapitulace stavby'!AN11)</f>
        <v/>
      </c>
      <c r="K15" s="27"/>
      <c r="L15" s="44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6.95" customHeight="1">
      <c r="A16" s="27"/>
      <c r="B16" s="32"/>
      <c r="C16" s="27"/>
      <c r="D16" s="27"/>
      <c r="E16" s="27"/>
      <c r="F16" s="27"/>
      <c r="G16" s="27"/>
      <c r="H16" s="27"/>
      <c r="I16" s="27"/>
      <c r="J16" s="27"/>
      <c r="K16" s="27"/>
      <c r="L16" s="44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>
      <c r="A17" s="27"/>
      <c r="B17" s="32"/>
      <c r="C17" s="27"/>
      <c r="D17" s="105" t="s">
        <v>22</v>
      </c>
      <c r="E17" s="27"/>
      <c r="F17" s="27"/>
      <c r="G17" s="27"/>
      <c r="H17" s="27"/>
      <c r="I17" s="105" t="s">
        <v>20</v>
      </c>
      <c r="J17" s="106" t="str">
        <f>'Rekapitulace stavby'!AN13</f>
        <v/>
      </c>
      <c r="K17" s="27"/>
      <c r="L17" s="44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>
      <c r="A18" s="27"/>
      <c r="B18" s="32"/>
      <c r="C18" s="27"/>
      <c r="D18" s="27"/>
      <c r="E18" s="342" t="str">
        <f>'Rekapitulace stavby'!E14</f>
        <v>Dle výběrového řízení</v>
      </c>
      <c r="F18" s="342"/>
      <c r="G18" s="342"/>
      <c r="H18" s="342"/>
      <c r="I18" s="105" t="s">
        <v>21</v>
      </c>
      <c r="J18" s="106" t="str">
        <f>'Rekapitulace stavby'!AN14</f>
        <v/>
      </c>
      <c r="K18" s="27"/>
      <c r="L18" s="44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6.95" customHeight="1">
      <c r="A19" s="27"/>
      <c r="B19" s="32"/>
      <c r="C19" s="27"/>
      <c r="D19" s="27"/>
      <c r="E19" s="27"/>
      <c r="F19" s="27"/>
      <c r="G19" s="27"/>
      <c r="H19" s="27"/>
      <c r="I19" s="27"/>
      <c r="J19" s="27"/>
      <c r="K19" s="27"/>
      <c r="L19" s="44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>
      <c r="A20" s="27"/>
      <c r="B20" s="32"/>
      <c r="C20" s="27"/>
      <c r="D20" s="105" t="s">
        <v>24</v>
      </c>
      <c r="E20" s="27"/>
      <c r="F20" s="27"/>
      <c r="G20" s="27"/>
      <c r="H20" s="27"/>
      <c r="I20" s="105" t="s">
        <v>20</v>
      </c>
      <c r="J20" s="106" t="str">
        <f>IF('Rekapitulace stavby'!AN16="","",'Rekapitulace stavby'!AN16)</f>
        <v/>
      </c>
      <c r="K20" s="27"/>
      <c r="L20" s="44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>
      <c r="A21" s="27"/>
      <c r="B21" s="32"/>
      <c r="C21" s="27"/>
      <c r="D21" s="27"/>
      <c r="E21" s="106" t="str">
        <f>IF('Rekapitulace stavby'!E17="","",'Rekapitulace stavby'!E17)</f>
        <v/>
      </c>
      <c r="F21" s="27"/>
      <c r="G21" s="27"/>
      <c r="H21" s="27"/>
      <c r="I21" s="105" t="s">
        <v>21</v>
      </c>
      <c r="J21" s="106" t="str">
        <f>IF('Rekapitulace stavby'!AN17="","",'Rekapitulace stavby'!AN17)</f>
        <v/>
      </c>
      <c r="K21" s="27"/>
      <c r="L21" s="44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6.95" customHeight="1">
      <c r="A22" s="27"/>
      <c r="B22" s="32"/>
      <c r="C22" s="27"/>
      <c r="D22" s="27"/>
      <c r="E22" s="27"/>
      <c r="F22" s="27"/>
      <c r="G22" s="27"/>
      <c r="H22" s="27"/>
      <c r="I22" s="27"/>
      <c r="J22" s="27"/>
      <c r="K22" s="27"/>
      <c r="L22" s="44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>
      <c r="A23" s="27"/>
      <c r="B23" s="32"/>
      <c r="C23" s="27"/>
      <c r="D23" s="105" t="s">
        <v>26</v>
      </c>
      <c r="E23" s="27"/>
      <c r="F23" s="27"/>
      <c r="G23" s="27"/>
      <c r="H23" s="27"/>
      <c r="I23" s="105" t="s">
        <v>20</v>
      </c>
      <c r="J23" s="106" t="str">
        <f>IF('Rekapitulace stavby'!AN19="","",'Rekapitulace stavby'!AN19)</f>
        <v/>
      </c>
      <c r="K23" s="27"/>
      <c r="L23" s="44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>
      <c r="A24" s="27"/>
      <c r="B24" s="32"/>
      <c r="C24" s="27"/>
      <c r="D24" s="27"/>
      <c r="E24" s="106" t="str">
        <f>IF('Rekapitulace stavby'!E20="","",'Rekapitulace stavby'!E20)</f>
        <v/>
      </c>
      <c r="F24" s="27"/>
      <c r="G24" s="27"/>
      <c r="H24" s="27"/>
      <c r="I24" s="105" t="s">
        <v>21</v>
      </c>
      <c r="J24" s="106" t="str">
        <f>IF('Rekapitulace stavby'!AN20="","",'Rekapitulace stavby'!AN20)</f>
        <v/>
      </c>
      <c r="K24" s="27"/>
      <c r="L24" s="44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6.95" customHeight="1">
      <c r="A25" s="27"/>
      <c r="B25" s="32"/>
      <c r="C25" s="27"/>
      <c r="D25" s="27"/>
      <c r="E25" s="27"/>
      <c r="F25" s="27"/>
      <c r="G25" s="27"/>
      <c r="H25" s="27"/>
      <c r="I25" s="27"/>
      <c r="J25" s="27"/>
      <c r="K25" s="27"/>
      <c r="L25" s="44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>
      <c r="A26" s="27"/>
      <c r="B26" s="32"/>
      <c r="C26" s="27"/>
      <c r="D26" s="105" t="s">
        <v>27</v>
      </c>
      <c r="E26" s="27"/>
      <c r="F26" s="27"/>
      <c r="G26" s="27"/>
      <c r="H26" s="27"/>
      <c r="I26" s="27"/>
      <c r="J26" s="27"/>
      <c r="K26" s="27"/>
      <c r="L26" s="44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>
      <c r="A27" s="108"/>
      <c r="B27" s="109"/>
      <c r="C27" s="108"/>
      <c r="D27" s="108"/>
      <c r="E27" s="343" t="s">
        <v>1</v>
      </c>
      <c r="F27" s="343"/>
      <c r="G27" s="343"/>
      <c r="H27" s="343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27"/>
      <c r="B28" s="32"/>
      <c r="C28" s="27"/>
      <c r="D28" s="27"/>
      <c r="E28" s="27"/>
      <c r="F28" s="27"/>
      <c r="G28" s="27"/>
      <c r="H28" s="27"/>
      <c r="I28" s="27"/>
      <c r="J28" s="27"/>
      <c r="K28" s="27"/>
      <c r="L28" s="44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>
      <c r="A29" s="27"/>
      <c r="B29" s="32"/>
      <c r="C29" s="27"/>
      <c r="D29" s="111"/>
      <c r="E29" s="111"/>
      <c r="F29" s="111"/>
      <c r="G29" s="111"/>
      <c r="H29" s="111"/>
      <c r="I29" s="111"/>
      <c r="J29" s="111"/>
      <c r="K29" s="111"/>
      <c r="L29" s="44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>
      <c r="A30" s="27"/>
      <c r="B30" s="32"/>
      <c r="C30" s="27"/>
      <c r="D30" s="112" t="s">
        <v>28</v>
      </c>
      <c r="E30" s="27"/>
      <c r="F30" s="27"/>
      <c r="G30" s="27"/>
      <c r="H30" s="27"/>
      <c r="I30" s="27"/>
      <c r="J30" s="113">
        <f>ROUND(J124,2)</f>
        <v>0</v>
      </c>
      <c r="K30" s="27"/>
      <c r="L30" s="44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6.95" customHeight="1">
      <c r="A31" s="27"/>
      <c r="B31" s="32"/>
      <c r="C31" s="27"/>
      <c r="D31" s="111"/>
      <c r="E31" s="111"/>
      <c r="F31" s="111"/>
      <c r="G31" s="111"/>
      <c r="H31" s="111"/>
      <c r="I31" s="111"/>
      <c r="J31" s="111"/>
      <c r="K31" s="111"/>
      <c r="L31" s="44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45" customHeight="1">
      <c r="A32" s="27"/>
      <c r="B32" s="32"/>
      <c r="C32" s="27"/>
      <c r="D32" s="27"/>
      <c r="E32" s="27"/>
      <c r="F32" s="114" t="s">
        <v>30</v>
      </c>
      <c r="G32" s="27"/>
      <c r="H32" s="27"/>
      <c r="I32" s="114" t="s">
        <v>29</v>
      </c>
      <c r="J32" s="114" t="s">
        <v>31</v>
      </c>
      <c r="K32" s="27"/>
      <c r="L32" s="44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45" customHeight="1">
      <c r="A33" s="27"/>
      <c r="B33" s="32"/>
      <c r="C33" s="27"/>
      <c r="D33" s="115" t="s">
        <v>32</v>
      </c>
      <c r="E33" s="105" t="s">
        <v>33</v>
      </c>
      <c r="F33" s="116">
        <f>J30</f>
        <v>0</v>
      </c>
      <c r="G33" s="27"/>
      <c r="H33" s="27"/>
      <c r="I33" s="117">
        <v>0.21</v>
      </c>
      <c r="J33" s="116">
        <f>F33*0.21</f>
        <v>0</v>
      </c>
      <c r="K33" s="27"/>
      <c r="L33" s="44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5" customHeight="1">
      <c r="A34" s="27"/>
      <c r="B34" s="32"/>
      <c r="C34" s="27"/>
      <c r="D34" s="27"/>
      <c r="E34" s="105" t="s">
        <v>34</v>
      </c>
      <c r="F34" s="116">
        <f>ROUND((SUM(BF124:BF435)),2)</f>
        <v>0</v>
      </c>
      <c r="G34" s="27"/>
      <c r="H34" s="27"/>
      <c r="I34" s="117">
        <v>0.15</v>
      </c>
      <c r="J34" s="116">
        <f>ROUND(((SUM(BF124:BF435))*I34),2)</f>
        <v>0</v>
      </c>
      <c r="K34" s="27"/>
      <c r="L34" s="44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5" customHeight="1" hidden="1">
      <c r="A35" s="27"/>
      <c r="B35" s="32"/>
      <c r="C35" s="27"/>
      <c r="D35" s="27"/>
      <c r="E35" s="105" t="s">
        <v>35</v>
      </c>
      <c r="F35" s="116">
        <f>ROUND((SUM(BG124:BG435)),2)</f>
        <v>0</v>
      </c>
      <c r="G35" s="27"/>
      <c r="H35" s="27"/>
      <c r="I35" s="117">
        <v>0.21</v>
      </c>
      <c r="J35" s="116">
        <f>0</f>
        <v>0</v>
      </c>
      <c r="K35" s="27"/>
      <c r="L35" s="44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5" customHeight="1" hidden="1">
      <c r="A36" s="27"/>
      <c r="B36" s="32"/>
      <c r="C36" s="27"/>
      <c r="D36" s="27"/>
      <c r="E36" s="105" t="s">
        <v>36</v>
      </c>
      <c r="F36" s="116">
        <f>ROUND((SUM(BH124:BH435)),2)</f>
        <v>0</v>
      </c>
      <c r="G36" s="27"/>
      <c r="H36" s="27"/>
      <c r="I36" s="117">
        <v>0.15</v>
      </c>
      <c r="J36" s="116">
        <f>0</f>
        <v>0</v>
      </c>
      <c r="K36" s="27"/>
      <c r="L36" s="44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5" customHeight="1" hidden="1">
      <c r="A37" s="27"/>
      <c r="B37" s="32"/>
      <c r="C37" s="27"/>
      <c r="D37" s="27"/>
      <c r="E37" s="105" t="s">
        <v>37</v>
      </c>
      <c r="F37" s="116">
        <f>ROUND((SUM(BI124:BI435)),2)</f>
        <v>0</v>
      </c>
      <c r="G37" s="27"/>
      <c r="H37" s="27"/>
      <c r="I37" s="117">
        <v>0</v>
      </c>
      <c r="J37" s="116">
        <f>0</f>
        <v>0</v>
      </c>
      <c r="K37" s="27"/>
      <c r="L37" s="44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6.95" customHeight="1">
      <c r="A38" s="27"/>
      <c r="B38" s="32"/>
      <c r="C38" s="27"/>
      <c r="D38" s="27"/>
      <c r="E38" s="27"/>
      <c r="F38" s="27"/>
      <c r="G38" s="27"/>
      <c r="H38" s="27"/>
      <c r="I38" s="27"/>
      <c r="J38" s="27"/>
      <c r="K38" s="27"/>
      <c r="L38" s="44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>
      <c r="A39" s="27"/>
      <c r="B39" s="32"/>
      <c r="C39" s="118"/>
      <c r="D39" s="119" t="s">
        <v>38</v>
      </c>
      <c r="E39" s="120"/>
      <c r="F39" s="120"/>
      <c r="G39" s="121" t="s">
        <v>39</v>
      </c>
      <c r="H39" s="122" t="s">
        <v>40</v>
      </c>
      <c r="I39" s="120"/>
      <c r="J39" s="123">
        <f>SUM(J30:J37)</f>
        <v>0</v>
      </c>
      <c r="K39" s="124"/>
      <c r="L39" s="44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5" customHeight="1">
      <c r="A40" s="27"/>
      <c r="B40" s="32"/>
      <c r="C40" s="27"/>
      <c r="D40" s="27"/>
      <c r="E40" s="27"/>
      <c r="F40" s="27"/>
      <c r="G40" s="27"/>
      <c r="H40" s="27"/>
      <c r="I40" s="27"/>
      <c r="J40" s="27"/>
      <c r="K40" s="27"/>
      <c r="L40" s="44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2:12" s="1" customFormat="1" ht="14.45" customHeight="1">
      <c r="B41" s="16"/>
      <c r="L41" s="16"/>
    </row>
    <row r="42" spans="2:12" s="1" customFormat="1" ht="14.45" customHeight="1">
      <c r="B42" s="16"/>
      <c r="L42" s="16"/>
    </row>
    <row r="43" spans="2:12" s="1" customFormat="1" ht="14.45" customHeight="1">
      <c r="B43" s="16"/>
      <c r="L43" s="16"/>
    </row>
    <row r="44" spans="2:12" s="1" customFormat="1" ht="14.45" customHeight="1">
      <c r="B44" s="16"/>
      <c r="L44" s="16"/>
    </row>
    <row r="45" spans="2:12" s="1" customFormat="1" ht="14.45" customHeight="1">
      <c r="B45" s="16"/>
      <c r="L45" s="16"/>
    </row>
    <row r="46" spans="2:12" s="1" customFormat="1" ht="14.45" customHeight="1">
      <c r="B46" s="16"/>
      <c r="L46" s="16"/>
    </row>
    <row r="47" spans="2:12" s="1" customFormat="1" ht="14.45" customHeight="1">
      <c r="B47" s="16"/>
      <c r="L47" s="16"/>
    </row>
    <row r="48" spans="2:12" s="1" customFormat="1" ht="14.45" customHeight="1">
      <c r="B48" s="16"/>
      <c r="L48" s="16"/>
    </row>
    <row r="49" spans="2:12" s="1" customFormat="1" ht="14.45" customHeight="1">
      <c r="B49" s="16"/>
      <c r="L49" s="16"/>
    </row>
    <row r="50" spans="2:12" s="2" customFormat="1" ht="14.45" customHeight="1">
      <c r="B50" s="44"/>
      <c r="D50" s="125" t="s">
        <v>41</v>
      </c>
      <c r="E50" s="126"/>
      <c r="F50" s="126"/>
      <c r="G50" s="125" t="s">
        <v>42</v>
      </c>
      <c r="H50" s="126"/>
      <c r="I50" s="126"/>
      <c r="J50" s="126"/>
      <c r="K50" s="126"/>
      <c r="L50" s="44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2" customFormat="1" ht="12.75">
      <c r="A61" s="27"/>
      <c r="B61" s="32"/>
      <c r="C61" s="27"/>
      <c r="D61" s="127" t="s">
        <v>43</v>
      </c>
      <c r="E61" s="128"/>
      <c r="F61" s="129" t="s">
        <v>44</v>
      </c>
      <c r="G61" s="127" t="s">
        <v>43</v>
      </c>
      <c r="H61" s="128"/>
      <c r="I61" s="128"/>
      <c r="J61" s="130" t="s">
        <v>44</v>
      </c>
      <c r="K61" s="128"/>
      <c r="L61" s="44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2" customFormat="1" ht="12.75">
      <c r="A65" s="27"/>
      <c r="B65" s="32"/>
      <c r="C65" s="27"/>
      <c r="D65" s="125" t="s">
        <v>45</v>
      </c>
      <c r="E65" s="131"/>
      <c r="F65" s="131"/>
      <c r="G65" s="125" t="s">
        <v>46</v>
      </c>
      <c r="H65" s="131"/>
      <c r="I65" s="131"/>
      <c r="J65" s="131"/>
      <c r="K65" s="131"/>
      <c r="L65" s="44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2" customFormat="1" ht="12.75">
      <c r="A76" s="27"/>
      <c r="B76" s="32"/>
      <c r="C76" s="27"/>
      <c r="D76" s="127" t="s">
        <v>43</v>
      </c>
      <c r="E76" s="128"/>
      <c r="F76" s="129" t="s">
        <v>44</v>
      </c>
      <c r="G76" s="127" t="s">
        <v>43</v>
      </c>
      <c r="H76" s="128"/>
      <c r="I76" s="128"/>
      <c r="J76" s="130" t="s">
        <v>44</v>
      </c>
      <c r="K76" s="128"/>
      <c r="L76" s="44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5" customHeight="1">
      <c r="A77" s="27"/>
      <c r="B77" s="132"/>
      <c r="C77" s="133"/>
      <c r="D77" s="133"/>
      <c r="E77" s="133"/>
      <c r="F77" s="133"/>
      <c r="G77" s="133"/>
      <c r="H77" s="133"/>
      <c r="I77" s="133"/>
      <c r="J77" s="133"/>
      <c r="K77" s="133"/>
      <c r="L77" s="44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2" customFormat="1" ht="6.95" customHeight="1">
      <c r="A81" s="27"/>
      <c r="B81" s="134"/>
      <c r="C81" s="135"/>
      <c r="D81" s="135"/>
      <c r="E81" s="135"/>
      <c r="F81" s="135"/>
      <c r="G81" s="135"/>
      <c r="H81" s="135"/>
      <c r="I81" s="135"/>
      <c r="J81" s="135"/>
      <c r="K81" s="135"/>
      <c r="L81" s="44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5" customHeight="1">
      <c r="A82" s="27"/>
      <c r="B82" s="28"/>
      <c r="C82" s="19" t="s">
        <v>83</v>
      </c>
      <c r="D82" s="29"/>
      <c r="E82" s="29"/>
      <c r="F82" s="29"/>
      <c r="G82" s="29"/>
      <c r="H82" s="29"/>
      <c r="I82" s="29"/>
      <c r="J82" s="29"/>
      <c r="K82" s="29"/>
      <c r="L82" s="44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5" customHeight="1">
      <c r="A83" s="27"/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44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>
      <c r="A84" s="27"/>
      <c r="B84" s="28"/>
      <c r="C84" s="24" t="s">
        <v>13</v>
      </c>
      <c r="D84" s="29"/>
      <c r="E84" s="29"/>
      <c r="F84" s="29"/>
      <c r="G84" s="29"/>
      <c r="H84" s="29"/>
      <c r="I84" s="29"/>
      <c r="J84" s="29"/>
      <c r="K84" s="29"/>
      <c r="L84" s="44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16.5" customHeight="1">
      <c r="A85" s="27"/>
      <c r="B85" s="28"/>
      <c r="C85" s="29"/>
      <c r="D85" s="29"/>
      <c r="E85" s="336" t="str">
        <f>E7</f>
        <v>ZŠ DR. PEŠKA CHRUDIM - REKONSTRUKCE ŠKOLNÍ KUCHYNĚ - SO01</v>
      </c>
      <c r="F85" s="337"/>
      <c r="G85" s="337"/>
      <c r="H85" s="337"/>
      <c r="I85" s="29"/>
      <c r="J85" s="29"/>
      <c r="K85" s="29"/>
      <c r="L85" s="44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31" s="2" customFormat="1" ht="12" customHeight="1">
      <c r="A86" s="27"/>
      <c r="B86" s="28"/>
      <c r="C86" s="24" t="s">
        <v>82</v>
      </c>
      <c r="D86" s="29"/>
      <c r="E86" s="29"/>
      <c r="F86" s="29"/>
      <c r="G86" s="29"/>
      <c r="H86" s="29"/>
      <c r="I86" s="29"/>
      <c r="J86" s="29"/>
      <c r="K86" s="29"/>
      <c r="L86" s="44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31" s="2" customFormat="1" ht="16.5" customHeight="1">
      <c r="A87" s="27"/>
      <c r="B87" s="28"/>
      <c r="C87" s="29"/>
      <c r="D87" s="29"/>
      <c r="E87" s="330" t="str">
        <f>E9</f>
        <v>D.000.050 - Zdravotně technické instalace</v>
      </c>
      <c r="F87" s="335"/>
      <c r="G87" s="335"/>
      <c r="H87" s="335"/>
      <c r="I87" s="29"/>
      <c r="J87" s="29"/>
      <c r="K87" s="29"/>
      <c r="L87" s="44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2" customFormat="1" ht="6.95" customHeight="1">
      <c r="A88" s="27"/>
      <c r="B88" s="28"/>
      <c r="C88" s="29"/>
      <c r="D88" s="29"/>
      <c r="E88" s="29"/>
      <c r="F88" s="29"/>
      <c r="G88" s="29"/>
      <c r="H88" s="29"/>
      <c r="I88" s="29"/>
      <c r="J88" s="29"/>
      <c r="K88" s="29"/>
      <c r="L88" s="44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2" customFormat="1" ht="12" customHeight="1">
      <c r="A89" s="27"/>
      <c r="B89" s="28"/>
      <c r="C89" s="24" t="s">
        <v>16</v>
      </c>
      <c r="D89" s="29"/>
      <c r="E89" s="29"/>
      <c r="F89" s="22" t="str">
        <f>F12</f>
        <v xml:space="preserve"> </v>
      </c>
      <c r="G89" s="29"/>
      <c r="H89" s="29"/>
      <c r="I89" s="24" t="s">
        <v>18</v>
      </c>
      <c r="J89" s="59">
        <f>IF(J12="","",J12)</f>
        <v>44074</v>
      </c>
      <c r="K89" s="29"/>
      <c r="L89" s="44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6.95" customHeight="1">
      <c r="A90" s="27"/>
      <c r="B90" s="28"/>
      <c r="C90" s="29"/>
      <c r="D90" s="29"/>
      <c r="E90" s="29"/>
      <c r="F90" s="29"/>
      <c r="G90" s="29"/>
      <c r="H90" s="29"/>
      <c r="I90" s="29"/>
      <c r="J90" s="29"/>
      <c r="K90" s="29"/>
      <c r="L90" s="44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5.2" customHeight="1">
      <c r="A91" s="27"/>
      <c r="B91" s="28"/>
      <c r="C91" s="24" t="s">
        <v>19</v>
      </c>
      <c r="D91" s="29"/>
      <c r="E91" s="29"/>
      <c r="F91" s="22" t="str">
        <f>E15</f>
        <v>MĚSTO CHRUDIM, RESSELOVO NÁMĚSTÍ 77, 53716 CHRUDIM</v>
      </c>
      <c r="G91" s="29"/>
      <c r="H91" s="29"/>
      <c r="I91" s="24" t="s">
        <v>24</v>
      </c>
      <c r="J91" s="25"/>
      <c r="K91" s="29"/>
      <c r="L91" s="44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15.2" customHeight="1">
      <c r="A92" s="27"/>
      <c r="B92" s="28"/>
      <c r="C92" s="24" t="s">
        <v>22</v>
      </c>
      <c r="D92" s="29"/>
      <c r="E92" s="29"/>
      <c r="F92" s="22" t="str">
        <f>IF(E18="","",E18)</f>
        <v>Dle výběrového řízení</v>
      </c>
      <c r="G92" s="29"/>
      <c r="H92" s="29"/>
      <c r="I92" s="24" t="s">
        <v>26</v>
      </c>
      <c r="J92" s="25"/>
      <c r="K92" s="29"/>
      <c r="L92" s="44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0.35" customHeight="1">
      <c r="A93" s="27"/>
      <c r="B93" s="28"/>
      <c r="C93" s="29"/>
      <c r="D93" s="29"/>
      <c r="E93" s="29"/>
      <c r="F93" s="29"/>
      <c r="G93" s="29"/>
      <c r="H93" s="29"/>
      <c r="I93" s="29"/>
      <c r="J93" s="29"/>
      <c r="K93" s="29"/>
      <c r="L93" s="44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29.25" customHeight="1">
      <c r="A94" s="27"/>
      <c r="B94" s="28"/>
      <c r="C94" s="136" t="s">
        <v>84</v>
      </c>
      <c r="D94" s="137"/>
      <c r="E94" s="137"/>
      <c r="F94" s="137"/>
      <c r="G94" s="137"/>
      <c r="H94" s="137"/>
      <c r="I94" s="137"/>
      <c r="J94" s="138" t="s">
        <v>85</v>
      </c>
      <c r="K94" s="137"/>
      <c r="L94" s="44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0.35" customHeight="1">
      <c r="A95" s="27"/>
      <c r="B95" s="28"/>
      <c r="C95" s="29"/>
      <c r="D95" s="29"/>
      <c r="E95" s="29"/>
      <c r="F95" s="29"/>
      <c r="G95" s="29"/>
      <c r="H95" s="29"/>
      <c r="I95" s="29"/>
      <c r="J95" s="29"/>
      <c r="K95" s="29"/>
      <c r="L95" s="44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2.9" customHeight="1">
      <c r="A96" s="27"/>
      <c r="B96" s="28"/>
      <c r="C96" s="139" t="s">
        <v>86</v>
      </c>
      <c r="D96" s="29"/>
      <c r="E96" s="29"/>
      <c r="F96" s="29"/>
      <c r="G96" s="29"/>
      <c r="H96" s="29"/>
      <c r="I96" s="29"/>
      <c r="J96" s="77">
        <f>J124</f>
        <v>0</v>
      </c>
      <c r="K96" s="29"/>
      <c r="L96" s="44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3" t="s">
        <v>87</v>
      </c>
    </row>
    <row r="97" spans="2:12" s="9" customFormat="1" ht="24.95" customHeight="1">
      <c r="B97" s="140"/>
      <c r="C97" s="141"/>
      <c r="D97" s="142" t="s">
        <v>133</v>
      </c>
      <c r="E97" s="143"/>
      <c r="F97" s="143"/>
      <c r="G97" s="143"/>
      <c r="H97" s="143"/>
      <c r="I97" s="143"/>
      <c r="J97" s="144">
        <f>J130</f>
        <v>0</v>
      </c>
      <c r="K97" s="141"/>
      <c r="L97" s="145"/>
    </row>
    <row r="98" spans="2:12" s="9" customFormat="1" ht="24.95" customHeight="1">
      <c r="B98" s="140"/>
      <c r="C98" s="141"/>
      <c r="D98" s="142" t="s">
        <v>88</v>
      </c>
      <c r="E98" s="143"/>
      <c r="F98" s="143"/>
      <c r="G98" s="143"/>
      <c r="H98" s="143"/>
      <c r="I98" s="143"/>
      <c r="J98" s="144">
        <f>J172</f>
        <v>0</v>
      </c>
      <c r="K98" s="141"/>
      <c r="L98" s="145"/>
    </row>
    <row r="99" spans="2:12" s="10" customFormat="1" ht="19.9" customHeight="1">
      <c r="B99" s="146"/>
      <c r="C99" s="147"/>
      <c r="D99" s="148" t="s">
        <v>134</v>
      </c>
      <c r="E99" s="149"/>
      <c r="F99" s="149"/>
      <c r="G99" s="149"/>
      <c r="H99" s="149"/>
      <c r="I99" s="149"/>
      <c r="J99" s="150">
        <f>J173</f>
        <v>0</v>
      </c>
      <c r="K99" s="147"/>
      <c r="L99" s="151"/>
    </row>
    <row r="100" spans="2:12" s="10" customFormat="1" ht="19.9" customHeight="1">
      <c r="B100" s="146"/>
      <c r="C100" s="147"/>
      <c r="D100" s="148" t="s">
        <v>89</v>
      </c>
      <c r="E100" s="149"/>
      <c r="F100" s="149"/>
      <c r="G100" s="149"/>
      <c r="H100" s="149"/>
      <c r="I100" s="149"/>
      <c r="J100" s="150">
        <f>J234</f>
        <v>0</v>
      </c>
      <c r="K100" s="147"/>
      <c r="L100" s="151"/>
    </row>
    <row r="101" spans="2:12" s="10" customFormat="1" ht="19.9" customHeight="1">
      <c r="B101" s="146"/>
      <c r="C101" s="147"/>
      <c r="D101" s="148" t="s">
        <v>135</v>
      </c>
      <c r="E101" s="149"/>
      <c r="F101" s="149"/>
      <c r="G101" s="149"/>
      <c r="H101" s="149"/>
      <c r="I101" s="149"/>
      <c r="J101" s="150">
        <f>J337</f>
        <v>0</v>
      </c>
      <c r="K101" s="147"/>
      <c r="L101" s="151"/>
    </row>
    <row r="102" spans="2:12" s="10" customFormat="1" ht="19.9" customHeight="1">
      <c r="B102" s="146"/>
      <c r="C102" s="147"/>
      <c r="D102" s="195" t="s">
        <v>733</v>
      </c>
      <c r="E102" s="149"/>
      <c r="F102" s="149"/>
      <c r="G102" s="149"/>
      <c r="H102" s="149"/>
      <c r="I102" s="149"/>
      <c r="J102" s="150">
        <f>J395</f>
        <v>0</v>
      </c>
      <c r="K102" s="147"/>
      <c r="L102" s="151"/>
    </row>
    <row r="103" spans="2:12" s="10" customFormat="1" ht="19.9" customHeight="1">
      <c r="B103" s="146"/>
      <c r="C103" s="147"/>
      <c r="D103" s="148" t="s">
        <v>90</v>
      </c>
      <c r="E103" s="149"/>
      <c r="F103" s="149"/>
      <c r="G103" s="149"/>
      <c r="H103" s="149"/>
      <c r="I103" s="149"/>
      <c r="J103" s="150">
        <f>J414</f>
        <v>0</v>
      </c>
      <c r="K103" s="147"/>
      <c r="L103" s="151"/>
    </row>
    <row r="104" spans="2:12" s="9" customFormat="1" ht="24.95" customHeight="1">
      <c r="B104" s="140"/>
      <c r="C104" s="141"/>
      <c r="D104" s="142" t="s">
        <v>136</v>
      </c>
      <c r="E104" s="143"/>
      <c r="F104" s="143"/>
      <c r="G104" s="143"/>
      <c r="H104" s="143"/>
      <c r="I104" s="143"/>
      <c r="J104" s="144">
        <f>J429</f>
        <v>0</v>
      </c>
      <c r="K104" s="141"/>
      <c r="L104" s="145"/>
    </row>
    <row r="105" spans="1:31" s="2" customFormat="1" ht="21.75" customHeight="1">
      <c r="A105" s="27"/>
      <c r="B105" s="28"/>
      <c r="C105" s="29"/>
      <c r="D105" s="29"/>
      <c r="E105" s="29"/>
      <c r="F105" s="29"/>
      <c r="G105" s="29"/>
      <c r="H105" s="29"/>
      <c r="I105" s="29"/>
      <c r="J105" s="29"/>
      <c r="K105" s="29"/>
      <c r="L105" s="44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6" spans="1:31" s="2" customFormat="1" ht="6.95" customHeight="1">
      <c r="A106" s="27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4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10" spans="1:31" s="2" customFormat="1" ht="6.95" customHeight="1">
      <c r="A110" s="27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4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24.95" customHeight="1">
      <c r="A111" s="27"/>
      <c r="B111" s="28"/>
      <c r="C111" s="19" t="s">
        <v>91</v>
      </c>
      <c r="D111" s="29"/>
      <c r="E111" s="29"/>
      <c r="F111" s="29"/>
      <c r="G111" s="29"/>
      <c r="H111" s="29"/>
      <c r="I111" s="29"/>
      <c r="J111" s="29"/>
      <c r="K111" s="29"/>
      <c r="L111" s="44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6.95" customHeight="1">
      <c r="A112" s="27"/>
      <c r="B112" s="28"/>
      <c r="C112" s="29"/>
      <c r="D112" s="29"/>
      <c r="E112" s="29"/>
      <c r="F112" s="29"/>
      <c r="G112" s="29"/>
      <c r="H112" s="29"/>
      <c r="I112" s="29"/>
      <c r="J112" s="29"/>
      <c r="K112" s="29"/>
      <c r="L112" s="44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s="2" customFormat="1" ht="12" customHeight="1">
      <c r="A113" s="27"/>
      <c r="B113" s="28"/>
      <c r="C113" s="24" t="s">
        <v>13</v>
      </c>
      <c r="D113" s="29"/>
      <c r="E113" s="29"/>
      <c r="F113" s="29"/>
      <c r="G113" s="29"/>
      <c r="H113" s="29"/>
      <c r="I113" s="29"/>
      <c r="J113" s="29"/>
      <c r="K113" s="29"/>
      <c r="L113" s="44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s="2" customFormat="1" ht="16.5" customHeight="1">
      <c r="A114" s="27"/>
      <c r="B114" s="28"/>
      <c r="C114" s="29"/>
      <c r="D114" s="29"/>
      <c r="E114" s="336" t="str">
        <f>E7</f>
        <v>ZŠ DR. PEŠKA CHRUDIM - REKONSTRUKCE ŠKOLNÍ KUCHYNĚ - SO01</v>
      </c>
      <c r="F114" s="337"/>
      <c r="G114" s="337"/>
      <c r="H114" s="337"/>
      <c r="I114" s="29"/>
      <c r="J114" s="29"/>
      <c r="K114" s="29"/>
      <c r="L114" s="44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2" customFormat="1" ht="12" customHeight="1">
      <c r="A115" s="27"/>
      <c r="B115" s="28"/>
      <c r="C115" s="24" t="s">
        <v>82</v>
      </c>
      <c r="D115" s="29"/>
      <c r="E115" s="29"/>
      <c r="F115" s="29"/>
      <c r="G115" s="29"/>
      <c r="H115" s="29"/>
      <c r="I115" s="29"/>
      <c r="J115" s="29"/>
      <c r="K115" s="29"/>
      <c r="L115" s="44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2" customFormat="1" ht="16.5" customHeight="1">
      <c r="A116" s="27"/>
      <c r="B116" s="28"/>
      <c r="C116" s="29"/>
      <c r="D116" s="29"/>
      <c r="E116" s="330" t="str">
        <f>E9</f>
        <v>D.000.050 - Zdravotně technické instalace</v>
      </c>
      <c r="F116" s="335"/>
      <c r="G116" s="335"/>
      <c r="H116" s="335"/>
      <c r="I116" s="29"/>
      <c r="J116" s="29"/>
      <c r="K116" s="29"/>
      <c r="L116" s="44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2" customFormat="1" ht="6.95" customHeight="1">
      <c r="A117" s="27"/>
      <c r="B117" s="28"/>
      <c r="C117" s="29"/>
      <c r="D117" s="29"/>
      <c r="E117" s="29"/>
      <c r="F117" s="29"/>
      <c r="G117" s="29"/>
      <c r="H117" s="29"/>
      <c r="I117" s="29"/>
      <c r="J117" s="29"/>
      <c r="K117" s="29"/>
      <c r="L117" s="44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2" customFormat="1" ht="12.75">
      <c r="A118" s="27"/>
      <c r="B118" s="28"/>
      <c r="C118" s="24" t="s">
        <v>16</v>
      </c>
      <c r="D118" s="29"/>
      <c r="E118" s="29"/>
      <c r="F118" s="22" t="str">
        <f>F12</f>
        <v xml:space="preserve"> </v>
      </c>
      <c r="G118" s="29"/>
      <c r="H118" s="29"/>
      <c r="I118" s="24" t="s">
        <v>18</v>
      </c>
      <c r="J118" s="59">
        <f>IF(J12="","",J12)</f>
        <v>44074</v>
      </c>
      <c r="K118" s="29"/>
      <c r="L118" s="44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2" customFormat="1" ht="12">
      <c r="A119" s="27"/>
      <c r="B119" s="28"/>
      <c r="C119" s="29"/>
      <c r="D119" s="29"/>
      <c r="E119" s="29"/>
      <c r="F119" s="29"/>
      <c r="G119" s="29"/>
      <c r="H119" s="29"/>
      <c r="I119" s="29"/>
      <c r="J119" s="29"/>
      <c r="K119" s="29"/>
      <c r="L119" s="44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2" customFormat="1" ht="25.5">
      <c r="A120" s="27"/>
      <c r="B120" s="28"/>
      <c r="C120" s="24" t="s">
        <v>19</v>
      </c>
      <c r="D120" s="29"/>
      <c r="E120" s="29"/>
      <c r="F120" s="22" t="str">
        <f>E15</f>
        <v>MĚSTO CHRUDIM, RESSELOVO NÁMĚSTÍ 77, 53716 CHRUDIM</v>
      </c>
      <c r="G120" s="29"/>
      <c r="H120" s="29"/>
      <c r="I120" s="24" t="s">
        <v>24</v>
      </c>
      <c r="J120" s="25" t="str">
        <f>E21</f>
        <v/>
      </c>
      <c r="K120" s="29"/>
      <c r="L120" s="44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2" customFormat="1" ht="25.5">
      <c r="A121" s="27"/>
      <c r="B121" s="28"/>
      <c r="C121" s="24" t="s">
        <v>22</v>
      </c>
      <c r="D121" s="29"/>
      <c r="E121" s="29"/>
      <c r="F121" s="22" t="str">
        <f>IF(E18="","",E18)</f>
        <v>Dle výběrového řízení</v>
      </c>
      <c r="G121" s="29"/>
      <c r="H121" s="29"/>
      <c r="I121" s="24" t="s">
        <v>26</v>
      </c>
      <c r="J121" s="25" t="str">
        <f>E24</f>
        <v/>
      </c>
      <c r="K121" s="29"/>
      <c r="L121" s="44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2" customFormat="1" ht="10.35" customHeight="1">
      <c r="A122" s="27"/>
      <c r="B122" s="28"/>
      <c r="C122" s="29"/>
      <c r="D122" s="29"/>
      <c r="E122" s="29"/>
      <c r="F122" s="29"/>
      <c r="G122" s="29"/>
      <c r="H122" s="29"/>
      <c r="I122" s="29"/>
      <c r="J122" s="29"/>
      <c r="K122" s="29"/>
      <c r="L122" s="44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11" customFormat="1" ht="29.25" customHeight="1">
      <c r="A123" s="152"/>
      <c r="B123" s="153"/>
      <c r="C123" s="154" t="s">
        <v>92</v>
      </c>
      <c r="D123" s="155" t="s">
        <v>53</v>
      </c>
      <c r="E123" s="155" t="s">
        <v>49</v>
      </c>
      <c r="F123" s="155" t="s">
        <v>50</v>
      </c>
      <c r="G123" s="155" t="s">
        <v>93</v>
      </c>
      <c r="H123" s="155" t="s">
        <v>94</v>
      </c>
      <c r="I123" s="155" t="s">
        <v>95</v>
      </c>
      <c r="J123" s="156" t="s">
        <v>85</v>
      </c>
      <c r="K123" s="157" t="s">
        <v>96</v>
      </c>
      <c r="L123" s="158"/>
      <c r="M123" s="68" t="s">
        <v>1</v>
      </c>
      <c r="N123" s="69" t="s">
        <v>32</v>
      </c>
      <c r="O123" s="69" t="s">
        <v>97</v>
      </c>
      <c r="P123" s="69" t="s">
        <v>98</v>
      </c>
      <c r="Q123" s="69" t="s">
        <v>99</v>
      </c>
      <c r="R123" s="69" t="s">
        <v>100</v>
      </c>
      <c r="S123" s="69" t="s">
        <v>101</v>
      </c>
      <c r="T123" s="70" t="s">
        <v>102</v>
      </c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</row>
    <row r="124" spans="1:63" s="2" customFormat="1" ht="22.9" customHeight="1">
      <c r="A124" s="27"/>
      <c r="B124" s="28"/>
      <c r="C124" s="75" t="s">
        <v>103</v>
      </c>
      <c r="D124" s="29"/>
      <c r="E124" s="29"/>
      <c r="F124" s="29"/>
      <c r="G124" s="29"/>
      <c r="H124" s="29"/>
      <c r="I124" s="29"/>
      <c r="J124" s="159">
        <f>BK124</f>
        <v>0</v>
      </c>
      <c r="K124" s="29"/>
      <c r="L124" s="32"/>
      <c r="M124" s="71"/>
      <c r="N124" s="160"/>
      <c r="O124" s="72"/>
      <c r="P124" s="161" t="e">
        <f>P125+P130+P172+P429</f>
        <v>#REF!</v>
      </c>
      <c r="Q124" s="72"/>
      <c r="R124" s="161" t="e">
        <f>R125+R130+R172+R429</f>
        <v>#REF!</v>
      </c>
      <c r="S124" s="72"/>
      <c r="T124" s="162" t="e">
        <f>T125+T130+T172+T429</f>
        <v>#REF!</v>
      </c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T124" s="13" t="s">
        <v>67</v>
      </c>
      <c r="AU124" s="13" t="s">
        <v>87</v>
      </c>
      <c r="BK124" s="163">
        <f>BK125+BK130+BK172+BK429</f>
        <v>0</v>
      </c>
    </row>
    <row r="125" spans="2:63" s="219" customFormat="1" ht="25.9" customHeight="1">
      <c r="B125" s="220"/>
      <c r="C125" s="221"/>
      <c r="D125" s="222"/>
      <c r="E125" s="223"/>
      <c r="F125" s="223"/>
      <c r="G125" s="221"/>
      <c r="H125" s="221"/>
      <c r="I125" s="221"/>
      <c r="J125" s="224"/>
      <c r="K125" s="221"/>
      <c r="L125" s="225"/>
      <c r="M125" s="226"/>
      <c r="N125" s="227"/>
      <c r="O125" s="227"/>
      <c r="P125" s="228">
        <f>P126+P128</f>
        <v>0</v>
      </c>
      <c r="Q125" s="227"/>
      <c r="R125" s="228">
        <f>R126+R128</f>
        <v>0</v>
      </c>
      <c r="S125" s="227"/>
      <c r="T125" s="229">
        <f>T126+T128</f>
        <v>0</v>
      </c>
      <c r="AR125" s="230" t="s">
        <v>73</v>
      </c>
      <c r="AT125" s="231" t="s">
        <v>67</v>
      </c>
      <c r="AU125" s="231" t="s">
        <v>68</v>
      </c>
      <c r="AY125" s="230" t="s">
        <v>104</v>
      </c>
      <c r="BK125" s="232">
        <f>BK126+BK128</f>
        <v>0</v>
      </c>
    </row>
    <row r="126" spans="2:63" s="219" customFormat="1" ht="12.75">
      <c r="B126" s="220"/>
      <c r="C126" s="221"/>
      <c r="D126" s="222"/>
      <c r="E126" s="233"/>
      <c r="F126" s="233"/>
      <c r="G126" s="221"/>
      <c r="H126" s="221"/>
      <c r="I126" s="221"/>
      <c r="J126" s="234"/>
      <c r="K126" s="221"/>
      <c r="L126" s="225"/>
      <c r="M126" s="226"/>
      <c r="N126" s="227"/>
      <c r="O126" s="227"/>
      <c r="P126" s="228">
        <f>SUM(P127:P127)</f>
        <v>0</v>
      </c>
      <c r="Q126" s="227"/>
      <c r="R126" s="228">
        <f>SUM(R127:R127)</f>
        <v>0</v>
      </c>
      <c r="S126" s="227"/>
      <c r="T126" s="229">
        <f>SUM(T127:T127)</f>
        <v>0</v>
      </c>
      <c r="AR126" s="230" t="s">
        <v>73</v>
      </c>
      <c r="AT126" s="231" t="s">
        <v>67</v>
      </c>
      <c r="AU126" s="231" t="s">
        <v>73</v>
      </c>
      <c r="AY126" s="230" t="s">
        <v>104</v>
      </c>
      <c r="BK126" s="232">
        <f>SUM(BK127:BK127)</f>
        <v>0</v>
      </c>
    </row>
    <row r="127" spans="2:47" s="166" customFormat="1" ht="12">
      <c r="B127" s="167"/>
      <c r="C127" s="182"/>
      <c r="D127" s="235"/>
      <c r="E127" s="182"/>
      <c r="F127" s="184"/>
      <c r="G127" s="182"/>
      <c r="H127" s="182"/>
      <c r="I127" s="182"/>
      <c r="J127" s="182"/>
      <c r="K127" s="182"/>
      <c r="L127" s="174"/>
      <c r="M127" s="185"/>
      <c r="N127" s="186"/>
      <c r="O127" s="186"/>
      <c r="P127" s="186"/>
      <c r="Q127" s="186"/>
      <c r="R127" s="186"/>
      <c r="S127" s="186"/>
      <c r="T127" s="187"/>
      <c r="AT127" s="180" t="s">
        <v>107</v>
      </c>
      <c r="AU127" s="180" t="s">
        <v>75</v>
      </c>
    </row>
    <row r="128" spans="2:63" s="219" customFormat="1" ht="12.75">
      <c r="B128" s="220"/>
      <c r="C128" s="221"/>
      <c r="D128" s="222"/>
      <c r="E128" s="233"/>
      <c r="F128" s="233"/>
      <c r="G128" s="221"/>
      <c r="H128" s="221"/>
      <c r="I128" s="221"/>
      <c r="J128" s="234"/>
      <c r="K128" s="221"/>
      <c r="L128" s="225"/>
      <c r="M128" s="226"/>
      <c r="N128" s="227"/>
      <c r="O128" s="227"/>
      <c r="P128" s="228">
        <f>SUM(P129:P129)</f>
        <v>0</v>
      </c>
      <c r="Q128" s="227"/>
      <c r="R128" s="228">
        <f>SUM(R129:R129)</f>
        <v>0</v>
      </c>
      <c r="S128" s="227"/>
      <c r="T128" s="229">
        <f>SUM(T129:T129)</f>
        <v>0</v>
      </c>
      <c r="AR128" s="230" t="s">
        <v>73</v>
      </c>
      <c r="AT128" s="231" t="s">
        <v>67</v>
      </c>
      <c r="AU128" s="231" t="s">
        <v>73</v>
      </c>
      <c r="AY128" s="230" t="s">
        <v>104</v>
      </c>
      <c r="BK128" s="232">
        <f>SUM(BK129:BK129)</f>
        <v>0</v>
      </c>
    </row>
    <row r="129" spans="2:47" s="166" customFormat="1" ht="12">
      <c r="B129" s="167"/>
      <c r="C129" s="182"/>
      <c r="D129" s="235"/>
      <c r="E129" s="182"/>
      <c r="F129" s="184"/>
      <c r="G129" s="182"/>
      <c r="H129" s="182"/>
      <c r="I129" s="182"/>
      <c r="J129" s="182"/>
      <c r="K129" s="182"/>
      <c r="L129" s="174"/>
      <c r="M129" s="185"/>
      <c r="N129" s="186"/>
      <c r="O129" s="186"/>
      <c r="P129" s="186"/>
      <c r="Q129" s="186"/>
      <c r="R129" s="186"/>
      <c r="S129" s="186"/>
      <c r="T129" s="187"/>
      <c r="V129" s="181"/>
      <c r="AT129" s="180" t="s">
        <v>107</v>
      </c>
      <c r="AU129" s="180" t="s">
        <v>75</v>
      </c>
    </row>
    <row r="130" spans="2:63" s="219" customFormat="1" ht="15">
      <c r="B130" s="220"/>
      <c r="C130" s="221"/>
      <c r="D130" s="222" t="s">
        <v>67</v>
      </c>
      <c r="E130" s="223" t="s">
        <v>137</v>
      </c>
      <c r="F130" s="223" t="s">
        <v>138</v>
      </c>
      <c r="G130" s="221"/>
      <c r="H130" s="221"/>
      <c r="I130" s="221"/>
      <c r="J130" s="224">
        <f>BK130</f>
        <v>0</v>
      </c>
      <c r="K130" s="221"/>
      <c r="L130" s="225"/>
      <c r="M130" s="226"/>
      <c r="N130" s="227"/>
      <c r="O130" s="227"/>
      <c r="P130" s="228">
        <f>SUM(P131:P171)</f>
        <v>72.19604000000001</v>
      </c>
      <c r="Q130" s="227"/>
      <c r="R130" s="228">
        <f>SUM(R131:R171)</f>
        <v>0.25444300000000003</v>
      </c>
      <c r="S130" s="227"/>
      <c r="T130" s="229">
        <f>SUM(T131:T171)</f>
        <v>0</v>
      </c>
      <c r="V130" s="277"/>
      <c r="AR130" s="230" t="s">
        <v>75</v>
      </c>
      <c r="AT130" s="231" t="s">
        <v>67</v>
      </c>
      <c r="AU130" s="231" t="s">
        <v>68</v>
      </c>
      <c r="AY130" s="230" t="s">
        <v>104</v>
      </c>
      <c r="BK130" s="232">
        <f>SUM(BK131:BK171)</f>
        <v>0</v>
      </c>
    </row>
    <row r="131" spans="2:65" s="166" customFormat="1" ht="24">
      <c r="B131" s="167"/>
      <c r="C131" s="168">
        <v>1</v>
      </c>
      <c r="D131" s="168" t="s">
        <v>105</v>
      </c>
      <c r="E131" s="169" t="s">
        <v>139</v>
      </c>
      <c r="F131" s="170" t="s">
        <v>140</v>
      </c>
      <c r="G131" s="171" t="s">
        <v>112</v>
      </c>
      <c r="H131" s="288">
        <f>H143+H141+H139+H137+H135+H133</f>
        <v>200</v>
      </c>
      <c r="I131" s="172">
        <v>0</v>
      </c>
      <c r="J131" s="172">
        <f>ROUND(I131*H131,2)</f>
        <v>0</v>
      </c>
      <c r="K131" s="173"/>
      <c r="L131" s="174"/>
      <c r="M131" s="205" t="s">
        <v>1</v>
      </c>
      <c r="N131" s="206" t="s">
        <v>33</v>
      </c>
      <c r="O131" s="200">
        <v>0.13</v>
      </c>
      <c r="P131" s="200">
        <f>O131*H131</f>
        <v>26</v>
      </c>
      <c r="Q131" s="200">
        <v>0.0002</v>
      </c>
      <c r="R131" s="200">
        <f>Q131*H131</f>
        <v>0.04</v>
      </c>
      <c r="S131" s="200">
        <v>0</v>
      </c>
      <c r="T131" s="201">
        <f>S131*H131</f>
        <v>0</v>
      </c>
      <c r="AR131" s="179" t="s">
        <v>114</v>
      </c>
      <c r="AT131" s="179" t="s">
        <v>105</v>
      </c>
      <c r="AU131" s="179" t="s">
        <v>73</v>
      </c>
      <c r="AY131" s="180" t="s">
        <v>104</v>
      </c>
      <c r="BE131" s="181">
        <f>IF(N131="základní",J131,0)</f>
        <v>0</v>
      </c>
      <c r="BF131" s="181">
        <f>IF(N131="snížená",J131,0)</f>
        <v>0</v>
      </c>
      <c r="BG131" s="181">
        <f>IF(N131="zákl. přenesená",J131,0)</f>
        <v>0</v>
      </c>
      <c r="BH131" s="181">
        <f>IF(N131="sníž. přenesená",J131,0)</f>
        <v>0</v>
      </c>
      <c r="BI131" s="181">
        <f>IF(N131="nulová",J131,0)</f>
        <v>0</v>
      </c>
      <c r="BJ131" s="180" t="s">
        <v>73</v>
      </c>
      <c r="BK131" s="181">
        <f>ROUND(I131*H131,2)</f>
        <v>0</v>
      </c>
      <c r="BL131" s="180" t="s">
        <v>114</v>
      </c>
      <c r="BM131" s="179" t="s">
        <v>141</v>
      </c>
    </row>
    <row r="132" spans="2:63" s="166" customFormat="1" ht="39">
      <c r="B132" s="167"/>
      <c r="C132" s="182"/>
      <c r="D132" s="183" t="s">
        <v>107</v>
      </c>
      <c r="E132" s="182"/>
      <c r="F132" s="184" t="s">
        <v>142</v>
      </c>
      <c r="G132" s="182"/>
      <c r="H132" s="289"/>
      <c r="I132" s="182"/>
      <c r="J132" s="182"/>
      <c r="K132" s="182"/>
      <c r="L132" s="174"/>
      <c r="M132" s="185"/>
      <c r="N132" s="186"/>
      <c r="O132" s="186"/>
      <c r="P132" s="186"/>
      <c r="Q132" s="186"/>
      <c r="R132" s="186"/>
      <c r="S132" s="186"/>
      <c r="T132" s="187"/>
      <c r="AT132" s="180" t="s">
        <v>107</v>
      </c>
      <c r="AU132" s="180" t="s">
        <v>73</v>
      </c>
      <c r="BK132" s="181">
        <f aca="true" t="shared" si="0" ref="BK132:BK170">ROUND(I132*H132,2)</f>
        <v>0</v>
      </c>
    </row>
    <row r="133" spans="2:65" s="166" customFormat="1" ht="24">
      <c r="B133" s="167"/>
      <c r="C133" s="168">
        <f>C131+1</f>
        <v>2</v>
      </c>
      <c r="D133" s="168" t="s">
        <v>110</v>
      </c>
      <c r="E133" s="169" t="s">
        <v>143</v>
      </c>
      <c r="F133" s="170" t="s">
        <v>579</v>
      </c>
      <c r="G133" s="171" t="s">
        <v>112</v>
      </c>
      <c r="H133" s="288">
        <f>75-5</f>
        <v>70</v>
      </c>
      <c r="I133" s="172">
        <v>0</v>
      </c>
      <c r="J133" s="172">
        <f>ROUND(I133*H133,2)</f>
        <v>0</v>
      </c>
      <c r="K133" s="196"/>
      <c r="L133" s="197"/>
      <c r="M133" s="198" t="s">
        <v>1</v>
      </c>
      <c r="N133" s="199" t="s">
        <v>33</v>
      </c>
      <c r="O133" s="200">
        <v>0</v>
      </c>
      <c r="P133" s="200">
        <f>O133*H133</f>
        <v>0</v>
      </c>
      <c r="Q133" s="200">
        <v>0.00035</v>
      </c>
      <c r="R133" s="200">
        <f>Q133*H133</f>
        <v>0.0245</v>
      </c>
      <c r="S133" s="200">
        <v>0</v>
      </c>
      <c r="T133" s="201">
        <f>S133*H133</f>
        <v>0</v>
      </c>
      <c r="AR133" s="179" t="s">
        <v>115</v>
      </c>
      <c r="AT133" s="179" t="s">
        <v>110</v>
      </c>
      <c r="AU133" s="179" t="s">
        <v>73</v>
      </c>
      <c r="AY133" s="180" t="s">
        <v>104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180" t="s">
        <v>73</v>
      </c>
      <c r="BK133" s="181">
        <f t="shared" si="0"/>
        <v>0</v>
      </c>
      <c r="BL133" s="180" t="s">
        <v>114</v>
      </c>
      <c r="BM133" s="179" t="s">
        <v>144</v>
      </c>
    </row>
    <row r="134" spans="2:63" s="166" customFormat="1" ht="19.5">
      <c r="B134" s="167"/>
      <c r="C134" s="182"/>
      <c r="D134" s="183" t="s">
        <v>107</v>
      </c>
      <c r="E134" s="182"/>
      <c r="F134" s="184" t="s">
        <v>592</v>
      </c>
      <c r="G134" s="182"/>
      <c r="H134" s="289"/>
      <c r="I134" s="202"/>
      <c r="J134" s="182"/>
      <c r="K134" s="182"/>
      <c r="L134" s="174"/>
      <c r="M134" s="185"/>
      <c r="N134" s="186"/>
      <c r="O134" s="186"/>
      <c r="P134" s="186"/>
      <c r="Q134" s="186"/>
      <c r="R134" s="186"/>
      <c r="S134" s="186"/>
      <c r="T134" s="187"/>
      <c r="AT134" s="180" t="s">
        <v>107</v>
      </c>
      <c r="AU134" s="180" t="s">
        <v>73</v>
      </c>
      <c r="BK134" s="181">
        <f t="shared" si="0"/>
        <v>0</v>
      </c>
    </row>
    <row r="135" spans="2:65" s="166" customFormat="1" ht="24">
      <c r="B135" s="167"/>
      <c r="C135" s="168">
        <f>C133+1</f>
        <v>3</v>
      </c>
      <c r="D135" s="168" t="s">
        <v>110</v>
      </c>
      <c r="E135" s="169" t="s">
        <v>143</v>
      </c>
      <c r="F135" s="170" t="s">
        <v>580</v>
      </c>
      <c r="G135" s="171" t="s">
        <v>112</v>
      </c>
      <c r="H135" s="288">
        <f>56-5</f>
        <v>51</v>
      </c>
      <c r="I135" s="172"/>
      <c r="J135" s="172">
        <f>ROUND(I135*H135,2)</f>
        <v>0</v>
      </c>
      <c r="K135" s="196"/>
      <c r="L135" s="197"/>
      <c r="M135" s="198" t="s">
        <v>1</v>
      </c>
      <c r="N135" s="199" t="s">
        <v>33</v>
      </c>
      <c r="O135" s="200">
        <v>0</v>
      </c>
      <c r="P135" s="200">
        <f>O135*H135</f>
        <v>0</v>
      </c>
      <c r="Q135" s="200">
        <v>0.000373</v>
      </c>
      <c r="R135" s="200">
        <f>Q135*H135</f>
        <v>0.019023</v>
      </c>
      <c r="S135" s="200">
        <v>0</v>
      </c>
      <c r="T135" s="201">
        <f>S135*H135</f>
        <v>0</v>
      </c>
      <c r="AR135" s="179" t="s">
        <v>115</v>
      </c>
      <c r="AT135" s="179" t="s">
        <v>110</v>
      </c>
      <c r="AU135" s="179" t="s">
        <v>73</v>
      </c>
      <c r="AY135" s="180" t="s">
        <v>104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180" t="s">
        <v>73</v>
      </c>
      <c r="BK135" s="181">
        <f t="shared" si="0"/>
        <v>0</v>
      </c>
      <c r="BL135" s="180" t="s">
        <v>114</v>
      </c>
      <c r="BM135" s="179" t="s">
        <v>146</v>
      </c>
    </row>
    <row r="136" spans="2:63" s="166" customFormat="1" ht="19.5">
      <c r="B136" s="167"/>
      <c r="C136" s="182"/>
      <c r="D136" s="183" t="s">
        <v>107</v>
      </c>
      <c r="E136" s="182"/>
      <c r="F136" s="184" t="s">
        <v>591</v>
      </c>
      <c r="G136" s="182"/>
      <c r="H136" s="289"/>
      <c r="I136" s="202"/>
      <c r="J136" s="182"/>
      <c r="K136" s="182"/>
      <c r="L136" s="174"/>
      <c r="M136" s="185"/>
      <c r="N136" s="186"/>
      <c r="O136" s="186"/>
      <c r="P136" s="186"/>
      <c r="Q136" s="186"/>
      <c r="R136" s="186"/>
      <c r="S136" s="186"/>
      <c r="T136" s="187"/>
      <c r="AT136" s="180" t="s">
        <v>107</v>
      </c>
      <c r="AU136" s="180" t="s">
        <v>73</v>
      </c>
      <c r="BK136" s="181">
        <f t="shared" si="0"/>
        <v>0</v>
      </c>
    </row>
    <row r="137" spans="2:65" s="166" customFormat="1" ht="24">
      <c r="B137" s="167"/>
      <c r="C137" s="168">
        <f>C135+1</f>
        <v>4</v>
      </c>
      <c r="D137" s="168" t="s">
        <v>110</v>
      </c>
      <c r="E137" s="169" t="s">
        <v>145</v>
      </c>
      <c r="F137" s="170" t="s">
        <v>581</v>
      </c>
      <c r="G137" s="171" t="s">
        <v>112</v>
      </c>
      <c r="H137" s="288">
        <f>32-5</f>
        <v>27</v>
      </c>
      <c r="I137" s="172">
        <v>0</v>
      </c>
      <c r="J137" s="172">
        <f>ROUND(I137*H137,2)</f>
        <v>0</v>
      </c>
      <c r="K137" s="196"/>
      <c r="L137" s="197"/>
      <c r="M137" s="198" t="s">
        <v>1</v>
      </c>
      <c r="N137" s="199" t="s">
        <v>33</v>
      </c>
      <c r="O137" s="200">
        <v>0</v>
      </c>
      <c r="P137" s="200">
        <f>O137*H137</f>
        <v>0</v>
      </c>
      <c r="Q137" s="200">
        <v>0.000424</v>
      </c>
      <c r="R137" s="200">
        <f>Q137*H137</f>
        <v>0.011448</v>
      </c>
      <c r="S137" s="200">
        <v>0</v>
      </c>
      <c r="T137" s="201">
        <f>S137*H137</f>
        <v>0</v>
      </c>
      <c r="AR137" s="179" t="s">
        <v>115</v>
      </c>
      <c r="AT137" s="179" t="s">
        <v>110</v>
      </c>
      <c r="AU137" s="179" t="s">
        <v>73</v>
      </c>
      <c r="AY137" s="180" t="s">
        <v>104</v>
      </c>
      <c r="BE137" s="181">
        <f>IF(N137="základní",J137,0)</f>
        <v>0</v>
      </c>
      <c r="BF137" s="181">
        <f>IF(N137="snížená",J137,0)</f>
        <v>0</v>
      </c>
      <c r="BG137" s="181">
        <f>IF(N137="zákl. přenesená",J137,0)</f>
        <v>0</v>
      </c>
      <c r="BH137" s="181">
        <f>IF(N137="sníž. přenesená",J137,0)</f>
        <v>0</v>
      </c>
      <c r="BI137" s="181">
        <f>IF(N137="nulová",J137,0)</f>
        <v>0</v>
      </c>
      <c r="BJ137" s="180" t="s">
        <v>73</v>
      </c>
      <c r="BK137" s="181">
        <f t="shared" si="0"/>
        <v>0</v>
      </c>
      <c r="BL137" s="180" t="s">
        <v>114</v>
      </c>
      <c r="BM137" s="179" t="s">
        <v>148</v>
      </c>
    </row>
    <row r="138" spans="2:63" s="166" customFormat="1" ht="19.5">
      <c r="B138" s="167"/>
      <c r="C138" s="182"/>
      <c r="D138" s="183" t="s">
        <v>107</v>
      </c>
      <c r="E138" s="182"/>
      <c r="F138" s="184" t="s">
        <v>590</v>
      </c>
      <c r="G138" s="182"/>
      <c r="H138" s="289"/>
      <c r="I138" s="202"/>
      <c r="J138" s="182"/>
      <c r="K138" s="182"/>
      <c r="L138" s="174"/>
      <c r="M138" s="185"/>
      <c r="N138" s="186"/>
      <c r="O138" s="186"/>
      <c r="P138" s="186"/>
      <c r="Q138" s="186"/>
      <c r="R138" s="186"/>
      <c r="S138" s="186"/>
      <c r="T138" s="187"/>
      <c r="AT138" s="180" t="s">
        <v>107</v>
      </c>
      <c r="AU138" s="180" t="s">
        <v>73</v>
      </c>
      <c r="BK138" s="181">
        <f t="shared" si="0"/>
        <v>0</v>
      </c>
    </row>
    <row r="139" spans="2:65" s="166" customFormat="1" ht="24">
      <c r="B139" s="167"/>
      <c r="C139" s="168">
        <f>C137+1</f>
        <v>5</v>
      </c>
      <c r="D139" s="168" t="s">
        <v>110</v>
      </c>
      <c r="E139" s="169" t="s">
        <v>147</v>
      </c>
      <c r="F139" s="170" t="s">
        <v>582</v>
      </c>
      <c r="G139" s="171" t="s">
        <v>112</v>
      </c>
      <c r="H139" s="288">
        <f>24-2</f>
        <v>22</v>
      </c>
      <c r="I139" s="172">
        <v>0</v>
      </c>
      <c r="J139" s="172">
        <f>ROUND(I139*H139,2)</f>
        <v>0</v>
      </c>
      <c r="K139" s="196"/>
      <c r="L139" s="197"/>
      <c r="M139" s="198" t="s">
        <v>1</v>
      </c>
      <c r="N139" s="199" t="s">
        <v>33</v>
      </c>
      <c r="O139" s="200">
        <v>0</v>
      </c>
      <c r="P139" s="200">
        <f>O139*H139</f>
        <v>0</v>
      </c>
      <c r="Q139" s="200">
        <v>0.000721</v>
      </c>
      <c r="R139" s="200">
        <f>Q139*H139</f>
        <v>0.015861999999999998</v>
      </c>
      <c r="S139" s="200">
        <v>0</v>
      </c>
      <c r="T139" s="201">
        <f>S139*H139</f>
        <v>0</v>
      </c>
      <c r="AR139" s="179" t="s">
        <v>115</v>
      </c>
      <c r="AT139" s="179" t="s">
        <v>110</v>
      </c>
      <c r="AU139" s="179" t="s">
        <v>73</v>
      </c>
      <c r="AY139" s="180" t="s">
        <v>104</v>
      </c>
      <c r="BE139" s="181">
        <f>IF(N139="základní",J139,0)</f>
        <v>0</v>
      </c>
      <c r="BF139" s="181">
        <f>IF(N139="snížená",J139,0)</f>
        <v>0</v>
      </c>
      <c r="BG139" s="181">
        <f>IF(N139="zákl. přenesená",J139,0)</f>
        <v>0</v>
      </c>
      <c r="BH139" s="181">
        <f>IF(N139="sníž. přenesená",J139,0)</f>
        <v>0</v>
      </c>
      <c r="BI139" s="181">
        <f>IF(N139="nulová",J139,0)</f>
        <v>0</v>
      </c>
      <c r="BJ139" s="180" t="s">
        <v>73</v>
      </c>
      <c r="BK139" s="181">
        <f t="shared" si="0"/>
        <v>0</v>
      </c>
      <c r="BL139" s="180" t="s">
        <v>114</v>
      </c>
      <c r="BM139" s="179" t="s">
        <v>150</v>
      </c>
    </row>
    <row r="140" spans="2:63" s="166" customFormat="1" ht="19.5">
      <c r="B140" s="167"/>
      <c r="C140" s="182"/>
      <c r="D140" s="183" t="s">
        <v>107</v>
      </c>
      <c r="E140" s="182"/>
      <c r="F140" s="184" t="s">
        <v>589</v>
      </c>
      <c r="G140" s="182"/>
      <c r="H140" s="289"/>
      <c r="I140" s="202"/>
      <c r="J140" s="182"/>
      <c r="K140" s="182"/>
      <c r="L140" s="174"/>
      <c r="M140" s="185"/>
      <c r="N140" s="186"/>
      <c r="O140" s="186"/>
      <c r="P140" s="186"/>
      <c r="Q140" s="186"/>
      <c r="R140" s="186"/>
      <c r="S140" s="186"/>
      <c r="T140" s="187"/>
      <c r="AT140" s="180" t="s">
        <v>107</v>
      </c>
      <c r="AU140" s="180" t="s">
        <v>73</v>
      </c>
      <c r="BK140" s="181">
        <f t="shared" si="0"/>
        <v>0</v>
      </c>
    </row>
    <row r="141" spans="2:65" s="166" customFormat="1" ht="24">
      <c r="B141" s="167"/>
      <c r="C141" s="168">
        <f>C139+1</f>
        <v>6</v>
      </c>
      <c r="D141" s="168" t="s">
        <v>110</v>
      </c>
      <c r="E141" s="169" t="s">
        <v>149</v>
      </c>
      <c r="F141" s="170" t="s">
        <v>583</v>
      </c>
      <c r="G141" s="171" t="s">
        <v>112</v>
      </c>
      <c r="H141" s="288">
        <f>28-3</f>
        <v>25</v>
      </c>
      <c r="I141" s="172">
        <v>0</v>
      </c>
      <c r="J141" s="172">
        <f>ROUND(I141*H141,2)</f>
        <v>0</v>
      </c>
      <c r="K141" s="196"/>
      <c r="L141" s="197"/>
      <c r="M141" s="198" t="s">
        <v>1</v>
      </c>
      <c r="N141" s="199" t="s">
        <v>33</v>
      </c>
      <c r="O141" s="200">
        <v>0</v>
      </c>
      <c r="P141" s="200">
        <f>O141*H141</f>
        <v>0</v>
      </c>
      <c r="Q141" s="200">
        <v>0.0008</v>
      </c>
      <c r="R141" s="200">
        <f>Q141*H141</f>
        <v>0.02</v>
      </c>
      <c r="S141" s="200">
        <v>0</v>
      </c>
      <c r="T141" s="201">
        <f>S141*H141</f>
        <v>0</v>
      </c>
      <c r="AR141" s="179" t="s">
        <v>115</v>
      </c>
      <c r="AT141" s="179" t="s">
        <v>110</v>
      </c>
      <c r="AU141" s="179" t="s">
        <v>73</v>
      </c>
      <c r="AY141" s="180" t="s">
        <v>104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180" t="s">
        <v>73</v>
      </c>
      <c r="BK141" s="181">
        <f t="shared" si="0"/>
        <v>0</v>
      </c>
      <c r="BL141" s="180" t="s">
        <v>114</v>
      </c>
      <c r="BM141" s="179" t="s">
        <v>152</v>
      </c>
    </row>
    <row r="142" spans="2:63" s="166" customFormat="1" ht="19.5">
      <c r="B142" s="167"/>
      <c r="C142" s="182"/>
      <c r="D142" s="183" t="s">
        <v>107</v>
      </c>
      <c r="E142" s="182"/>
      <c r="F142" s="184" t="s">
        <v>588</v>
      </c>
      <c r="G142" s="182"/>
      <c r="H142" s="289"/>
      <c r="I142" s="202"/>
      <c r="J142" s="182"/>
      <c r="K142" s="182"/>
      <c r="L142" s="174"/>
      <c r="M142" s="185"/>
      <c r="N142" s="186"/>
      <c r="O142" s="186"/>
      <c r="P142" s="186"/>
      <c r="Q142" s="186"/>
      <c r="R142" s="186"/>
      <c r="S142" s="186"/>
      <c r="T142" s="187"/>
      <c r="AT142" s="180" t="s">
        <v>107</v>
      </c>
      <c r="AU142" s="180" t="s">
        <v>73</v>
      </c>
      <c r="BK142" s="181">
        <f t="shared" si="0"/>
        <v>0</v>
      </c>
    </row>
    <row r="143" spans="2:65" s="166" customFormat="1" ht="24">
      <c r="B143" s="167"/>
      <c r="C143" s="168">
        <f>C141+1</f>
        <v>7</v>
      </c>
      <c r="D143" s="168" t="s">
        <v>110</v>
      </c>
      <c r="E143" s="169" t="s">
        <v>151</v>
      </c>
      <c r="F143" s="170" t="s">
        <v>584</v>
      </c>
      <c r="G143" s="171" t="s">
        <v>112</v>
      </c>
      <c r="H143" s="288">
        <f>12-7</f>
        <v>5</v>
      </c>
      <c r="I143" s="172">
        <v>0</v>
      </c>
      <c r="J143" s="172">
        <f>ROUND(I143*H143,2)</f>
        <v>0</v>
      </c>
      <c r="K143" s="173"/>
      <c r="L143" s="174"/>
      <c r="M143" s="205" t="s">
        <v>1</v>
      </c>
      <c r="N143" s="206" t="s">
        <v>33</v>
      </c>
      <c r="O143" s="200">
        <v>0.136</v>
      </c>
      <c r="P143" s="200">
        <f>O143*H143</f>
        <v>0.68</v>
      </c>
      <c r="Q143" s="200">
        <v>0.00027</v>
      </c>
      <c r="R143" s="200">
        <f>Q143*H143</f>
        <v>0.00135</v>
      </c>
      <c r="S143" s="200">
        <v>0</v>
      </c>
      <c r="T143" s="201">
        <f>S143*H143</f>
        <v>0</v>
      </c>
      <c r="AR143" s="179" t="s">
        <v>114</v>
      </c>
      <c r="AT143" s="179" t="s">
        <v>105</v>
      </c>
      <c r="AU143" s="179" t="s">
        <v>73</v>
      </c>
      <c r="AY143" s="180" t="s">
        <v>104</v>
      </c>
      <c r="BE143" s="181">
        <f>IF(N143="základní",J143,0)</f>
        <v>0</v>
      </c>
      <c r="BF143" s="181">
        <f>IF(N143="snížená",J143,0)</f>
        <v>0</v>
      </c>
      <c r="BG143" s="181">
        <f>IF(N143="zákl. přenesená",J143,0)</f>
        <v>0</v>
      </c>
      <c r="BH143" s="181">
        <f>IF(N143="sníž. přenesená",J143,0)</f>
        <v>0</v>
      </c>
      <c r="BI143" s="181">
        <f>IF(N143="nulová",J143,0)</f>
        <v>0</v>
      </c>
      <c r="BJ143" s="180" t="s">
        <v>73</v>
      </c>
      <c r="BK143" s="181">
        <f t="shared" si="0"/>
        <v>0</v>
      </c>
      <c r="BL143" s="180" t="s">
        <v>114</v>
      </c>
      <c r="BM143" s="179" t="s">
        <v>155</v>
      </c>
    </row>
    <row r="144" spans="2:63" s="166" customFormat="1" ht="19.5">
      <c r="B144" s="167"/>
      <c r="C144" s="182"/>
      <c r="D144" s="183" t="s">
        <v>107</v>
      </c>
      <c r="E144" s="182"/>
      <c r="F144" s="184" t="s">
        <v>587</v>
      </c>
      <c r="G144" s="182"/>
      <c r="H144" s="289"/>
      <c r="I144" s="202"/>
      <c r="J144" s="182"/>
      <c r="K144" s="182"/>
      <c r="L144" s="174"/>
      <c r="M144" s="185"/>
      <c r="N144" s="186"/>
      <c r="O144" s="186"/>
      <c r="P144" s="186"/>
      <c r="Q144" s="186"/>
      <c r="R144" s="186"/>
      <c r="S144" s="186"/>
      <c r="T144" s="187"/>
      <c r="AT144" s="180" t="s">
        <v>107</v>
      </c>
      <c r="AU144" s="180" t="s">
        <v>73</v>
      </c>
      <c r="BK144" s="181">
        <f t="shared" si="0"/>
        <v>0</v>
      </c>
    </row>
    <row r="145" spans="2:65" s="166" customFormat="1" ht="24">
      <c r="B145" s="167"/>
      <c r="C145" s="168">
        <f>C143+1</f>
        <v>8</v>
      </c>
      <c r="D145" s="168" t="s">
        <v>105</v>
      </c>
      <c r="E145" s="169" t="s">
        <v>153</v>
      </c>
      <c r="F145" s="170" t="s">
        <v>154</v>
      </c>
      <c r="G145" s="171" t="s">
        <v>112</v>
      </c>
      <c r="H145" s="288">
        <f>H147</f>
        <v>18</v>
      </c>
      <c r="I145" s="172">
        <v>0</v>
      </c>
      <c r="J145" s="172">
        <f>ROUND(I145*H145,2)</f>
        <v>0</v>
      </c>
      <c r="K145" s="196"/>
      <c r="L145" s="197"/>
      <c r="M145" s="198" t="s">
        <v>1</v>
      </c>
      <c r="N145" s="199" t="s">
        <v>33</v>
      </c>
      <c r="O145" s="200">
        <v>0</v>
      </c>
      <c r="P145" s="200">
        <f>O145*H145</f>
        <v>0</v>
      </c>
      <c r="Q145" s="200">
        <v>0.00088</v>
      </c>
      <c r="R145" s="200">
        <f>Q145*H145</f>
        <v>0.01584</v>
      </c>
      <c r="S145" s="200">
        <v>0</v>
      </c>
      <c r="T145" s="201">
        <f>S145*H145</f>
        <v>0</v>
      </c>
      <c r="AR145" s="179" t="s">
        <v>115</v>
      </c>
      <c r="AT145" s="179" t="s">
        <v>110</v>
      </c>
      <c r="AU145" s="179" t="s">
        <v>73</v>
      </c>
      <c r="AY145" s="180" t="s">
        <v>104</v>
      </c>
      <c r="BE145" s="181">
        <f>IF(N145="základní",J145,0)</f>
        <v>0</v>
      </c>
      <c r="BF145" s="181">
        <f>IF(N145="snížená",J145,0)</f>
        <v>0</v>
      </c>
      <c r="BG145" s="181">
        <f>IF(N145="zákl. přenesená",J145,0)</f>
        <v>0</v>
      </c>
      <c r="BH145" s="181">
        <f>IF(N145="sníž. přenesená",J145,0)</f>
        <v>0</v>
      </c>
      <c r="BI145" s="181">
        <f>IF(N145="nulová",J145,0)</f>
        <v>0</v>
      </c>
      <c r="BJ145" s="180" t="s">
        <v>73</v>
      </c>
      <c r="BK145" s="181">
        <f t="shared" si="0"/>
        <v>0</v>
      </c>
      <c r="BL145" s="180" t="s">
        <v>114</v>
      </c>
      <c r="BM145" s="179" t="s">
        <v>158</v>
      </c>
    </row>
    <row r="146" spans="2:63" s="166" customFormat="1" ht="39">
      <c r="B146" s="167"/>
      <c r="C146" s="182"/>
      <c r="D146" s="183" t="s">
        <v>107</v>
      </c>
      <c r="E146" s="182"/>
      <c r="F146" s="184" t="s">
        <v>156</v>
      </c>
      <c r="G146" s="182"/>
      <c r="H146" s="289"/>
      <c r="I146" s="182"/>
      <c r="J146" s="182"/>
      <c r="K146" s="182"/>
      <c r="L146" s="174"/>
      <c r="M146" s="185"/>
      <c r="N146" s="186"/>
      <c r="O146" s="186"/>
      <c r="P146" s="186"/>
      <c r="Q146" s="186"/>
      <c r="R146" s="186"/>
      <c r="S146" s="186"/>
      <c r="T146" s="187"/>
      <c r="AT146" s="180" t="s">
        <v>107</v>
      </c>
      <c r="AU146" s="180" t="s">
        <v>73</v>
      </c>
      <c r="BK146" s="181">
        <f t="shared" si="0"/>
        <v>0</v>
      </c>
    </row>
    <row r="147" spans="2:65" s="166" customFormat="1" ht="24">
      <c r="B147" s="167"/>
      <c r="C147" s="168">
        <f>C145+1</f>
        <v>9</v>
      </c>
      <c r="D147" s="168" t="s">
        <v>110</v>
      </c>
      <c r="E147" s="169" t="s">
        <v>157</v>
      </c>
      <c r="F147" s="170" t="s">
        <v>585</v>
      </c>
      <c r="G147" s="171" t="s">
        <v>112</v>
      </c>
      <c r="H147" s="288">
        <v>18</v>
      </c>
      <c r="I147" s="172">
        <v>0</v>
      </c>
      <c r="J147" s="172">
        <f>ROUND(I147*H147,2)</f>
        <v>0</v>
      </c>
      <c r="K147" s="173"/>
      <c r="L147" s="174"/>
      <c r="M147" s="175" t="s">
        <v>1</v>
      </c>
      <c r="N147" s="176" t="s">
        <v>33</v>
      </c>
      <c r="O147" s="177">
        <v>0</v>
      </c>
      <c r="P147" s="177">
        <f>O147*H147</f>
        <v>0</v>
      </c>
      <c r="Q147" s="177">
        <v>0.00102</v>
      </c>
      <c r="R147" s="177">
        <f>Q147*H147</f>
        <v>0.01836</v>
      </c>
      <c r="S147" s="177">
        <v>0</v>
      </c>
      <c r="T147" s="178">
        <f>S147*H147</f>
        <v>0</v>
      </c>
      <c r="AR147" s="179" t="s">
        <v>115</v>
      </c>
      <c r="AT147" s="179" t="s">
        <v>110</v>
      </c>
      <c r="AU147" s="179" t="s">
        <v>73</v>
      </c>
      <c r="AY147" s="180" t="s">
        <v>104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180" t="s">
        <v>73</v>
      </c>
      <c r="BK147" s="181">
        <f t="shared" si="0"/>
        <v>0</v>
      </c>
      <c r="BL147" s="180" t="s">
        <v>114</v>
      </c>
      <c r="BM147" s="179" t="s">
        <v>159</v>
      </c>
    </row>
    <row r="148" spans="2:63" s="166" customFormat="1" ht="19.5">
      <c r="B148" s="167"/>
      <c r="C148" s="182"/>
      <c r="D148" s="183" t="s">
        <v>107</v>
      </c>
      <c r="E148" s="182"/>
      <c r="F148" s="184" t="s">
        <v>586</v>
      </c>
      <c r="G148" s="182"/>
      <c r="H148" s="289"/>
      <c r="I148" s="182"/>
      <c r="J148" s="182"/>
      <c r="K148" s="182"/>
      <c r="L148" s="174"/>
      <c r="M148" s="185"/>
      <c r="N148" s="186"/>
      <c r="O148" s="186"/>
      <c r="P148" s="186"/>
      <c r="Q148" s="186"/>
      <c r="R148" s="186"/>
      <c r="S148" s="186"/>
      <c r="T148" s="187"/>
      <c r="AT148" s="180" t="s">
        <v>107</v>
      </c>
      <c r="AU148" s="180" t="s">
        <v>73</v>
      </c>
      <c r="BK148" s="181">
        <f t="shared" si="0"/>
        <v>0</v>
      </c>
    </row>
    <row r="149" spans="2:65" s="166" customFormat="1" ht="24">
      <c r="B149" s="167"/>
      <c r="C149" s="168">
        <f>C147+1</f>
        <v>10</v>
      </c>
      <c r="D149" s="168" t="s">
        <v>105</v>
      </c>
      <c r="E149" s="169" t="s">
        <v>160</v>
      </c>
      <c r="F149" s="170" t="s">
        <v>161</v>
      </c>
      <c r="G149" s="171" t="s">
        <v>112</v>
      </c>
      <c r="H149" s="288">
        <f>60-6</f>
        <v>54</v>
      </c>
      <c r="I149" s="172">
        <v>0</v>
      </c>
      <c r="J149" s="172">
        <f>ROUND(I149*H149,2)</f>
        <v>0</v>
      </c>
      <c r="K149" s="173"/>
      <c r="L149" s="174"/>
      <c r="M149" s="175" t="s">
        <v>1</v>
      </c>
      <c r="N149" s="176" t="s">
        <v>33</v>
      </c>
      <c r="O149" s="177">
        <v>0.113</v>
      </c>
      <c r="P149" s="177">
        <f>O149*H149</f>
        <v>6.102</v>
      </c>
      <c r="Q149" s="177">
        <v>0.00012</v>
      </c>
      <c r="R149" s="177">
        <f>Q149*H149</f>
        <v>0.0064800000000000005</v>
      </c>
      <c r="S149" s="177">
        <v>0</v>
      </c>
      <c r="T149" s="178">
        <f>S149*H149</f>
        <v>0</v>
      </c>
      <c r="AR149" s="179" t="s">
        <v>114</v>
      </c>
      <c r="AT149" s="179" t="s">
        <v>105</v>
      </c>
      <c r="AU149" s="179" t="s">
        <v>73</v>
      </c>
      <c r="AY149" s="180" t="s">
        <v>104</v>
      </c>
      <c r="BE149" s="181">
        <f>IF(N149="základní",J149,0)</f>
        <v>0</v>
      </c>
      <c r="BF149" s="181">
        <f>IF(N149="snížená",J149,0)</f>
        <v>0</v>
      </c>
      <c r="BG149" s="181">
        <f>IF(N149="zákl. přenesená",J149,0)</f>
        <v>0</v>
      </c>
      <c r="BH149" s="181">
        <f>IF(N149="sníž. přenesená",J149,0)</f>
        <v>0</v>
      </c>
      <c r="BI149" s="181">
        <f>IF(N149="nulová",J149,0)</f>
        <v>0</v>
      </c>
      <c r="BJ149" s="180" t="s">
        <v>73</v>
      </c>
      <c r="BK149" s="181">
        <f t="shared" si="0"/>
        <v>0</v>
      </c>
      <c r="BL149" s="180" t="s">
        <v>114</v>
      </c>
      <c r="BM149" s="179" t="s">
        <v>162</v>
      </c>
    </row>
    <row r="150" spans="2:63" s="166" customFormat="1" ht="29.25">
      <c r="B150" s="167"/>
      <c r="C150" s="182"/>
      <c r="D150" s="183" t="s">
        <v>107</v>
      </c>
      <c r="E150" s="182"/>
      <c r="F150" s="184" t="s">
        <v>163</v>
      </c>
      <c r="G150" s="182"/>
      <c r="H150" s="289"/>
      <c r="I150" s="202"/>
      <c r="J150" s="182"/>
      <c r="K150" s="182"/>
      <c r="L150" s="174"/>
      <c r="M150" s="185"/>
      <c r="N150" s="186"/>
      <c r="O150" s="186"/>
      <c r="P150" s="186"/>
      <c r="Q150" s="186"/>
      <c r="R150" s="186"/>
      <c r="S150" s="186"/>
      <c r="T150" s="187"/>
      <c r="AT150" s="180" t="s">
        <v>107</v>
      </c>
      <c r="AU150" s="180" t="s">
        <v>73</v>
      </c>
      <c r="BK150" s="181">
        <f t="shared" si="0"/>
        <v>0</v>
      </c>
    </row>
    <row r="151" spans="2:65" s="166" customFormat="1" ht="24">
      <c r="B151" s="167"/>
      <c r="C151" s="168">
        <f>C149+1</f>
        <v>11</v>
      </c>
      <c r="D151" s="168" t="s">
        <v>105</v>
      </c>
      <c r="E151" s="169" t="s">
        <v>164</v>
      </c>
      <c r="F151" s="170" t="s">
        <v>165</v>
      </c>
      <c r="G151" s="171" t="s">
        <v>112</v>
      </c>
      <c r="H151" s="288">
        <f>38+16+36-7</f>
        <v>83</v>
      </c>
      <c r="I151" s="172">
        <v>0</v>
      </c>
      <c r="J151" s="172">
        <f>ROUND(I151*H151,2)</f>
        <v>0</v>
      </c>
      <c r="K151" s="173"/>
      <c r="L151" s="174"/>
      <c r="M151" s="175" t="s">
        <v>1</v>
      </c>
      <c r="N151" s="176" t="s">
        <v>33</v>
      </c>
      <c r="O151" s="177">
        <v>0.113</v>
      </c>
      <c r="P151" s="177">
        <f>O151*H151</f>
        <v>9.379</v>
      </c>
      <c r="Q151" s="177">
        <v>0.00016</v>
      </c>
      <c r="R151" s="177">
        <f>Q151*H151</f>
        <v>0.013280000000000002</v>
      </c>
      <c r="S151" s="177">
        <v>0</v>
      </c>
      <c r="T151" s="178">
        <f>S151*H151</f>
        <v>0</v>
      </c>
      <c r="AR151" s="179" t="s">
        <v>114</v>
      </c>
      <c r="AT151" s="179" t="s">
        <v>105</v>
      </c>
      <c r="AU151" s="179" t="s">
        <v>73</v>
      </c>
      <c r="AY151" s="180" t="s">
        <v>104</v>
      </c>
      <c r="BE151" s="181">
        <f>IF(N151="základní",J151,0)</f>
        <v>0</v>
      </c>
      <c r="BF151" s="181">
        <f>IF(N151="snížená",J151,0)</f>
        <v>0</v>
      </c>
      <c r="BG151" s="181">
        <f>IF(N151="zákl. přenesená",J151,0)</f>
        <v>0</v>
      </c>
      <c r="BH151" s="181">
        <f>IF(N151="sníž. přenesená",J151,0)</f>
        <v>0</v>
      </c>
      <c r="BI151" s="181">
        <f>IF(N151="nulová",J151,0)</f>
        <v>0</v>
      </c>
      <c r="BJ151" s="180" t="s">
        <v>73</v>
      </c>
      <c r="BK151" s="181">
        <f t="shared" si="0"/>
        <v>0</v>
      </c>
      <c r="BL151" s="180" t="s">
        <v>114</v>
      </c>
      <c r="BM151" s="179" t="s">
        <v>166</v>
      </c>
    </row>
    <row r="152" spans="2:63" s="166" customFormat="1" ht="29.25">
      <c r="B152" s="167"/>
      <c r="C152" s="182"/>
      <c r="D152" s="183" t="s">
        <v>107</v>
      </c>
      <c r="E152" s="182"/>
      <c r="F152" s="184" t="s">
        <v>167</v>
      </c>
      <c r="G152" s="182"/>
      <c r="H152" s="289"/>
      <c r="I152" s="202"/>
      <c r="J152" s="182"/>
      <c r="K152" s="182"/>
      <c r="L152" s="174"/>
      <c r="M152" s="185"/>
      <c r="N152" s="186"/>
      <c r="O152" s="186"/>
      <c r="P152" s="186"/>
      <c r="Q152" s="186"/>
      <c r="R152" s="186"/>
      <c r="S152" s="186"/>
      <c r="T152" s="187"/>
      <c r="AT152" s="180" t="s">
        <v>107</v>
      </c>
      <c r="AU152" s="180" t="s">
        <v>73</v>
      </c>
      <c r="BK152" s="181">
        <f t="shared" si="0"/>
        <v>0</v>
      </c>
    </row>
    <row r="153" spans="2:65" s="166" customFormat="1" ht="24">
      <c r="B153" s="167"/>
      <c r="C153" s="168">
        <f>C151+1</f>
        <v>12</v>
      </c>
      <c r="D153" s="168" t="s">
        <v>105</v>
      </c>
      <c r="E153" s="169" t="s">
        <v>168</v>
      </c>
      <c r="F153" s="170" t="s">
        <v>169</v>
      </c>
      <c r="G153" s="171" t="s">
        <v>112</v>
      </c>
      <c r="H153" s="288">
        <f>22-13</f>
        <v>9</v>
      </c>
      <c r="I153" s="172">
        <v>0</v>
      </c>
      <c r="J153" s="172">
        <f>ROUND(I153*H153,2)</f>
        <v>0</v>
      </c>
      <c r="K153" s="173"/>
      <c r="L153" s="174"/>
      <c r="M153" s="175" t="s">
        <v>1</v>
      </c>
      <c r="N153" s="176" t="s">
        <v>33</v>
      </c>
      <c r="O153" s="177">
        <v>0.113</v>
      </c>
      <c r="P153" s="177">
        <f>O153*H153</f>
        <v>1.0170000000000001</v>
      </c>
      <c r="Q153" s="177">
        <v>0.00019</v>
      </c>
      <c r="R153" s="177">
        <f>Q153*H153</f>
        <v>0.0017100000000000001</v>
      </c>
      <c r="S153" s="177">
        <v>0</v>
      </c>
      <c r="T153" s="178">
        <f>S153*H153</f>
        <v>0</v>
      </c>
      <c r="AR153" s="179" t="s">
        <v>114</v>
      </c>
      <c r="AT153" s="179" t="s">
        <v>105</v>
      </c>
      <c r="AU153" s="179" t="s">
        <v>73</v>
      </c>
      <c r="AY153" s="180" t="s">
        <v>104</v>
      </c>
      <c r="BE153" s="181">
        <f>IF(N153="základní",J153,0)</f>
        <v>0</v>
      </c>
      <c r="BF153" s="181">
        <f>IF(N153="snížená",J153,0)</f>
        <v>0</v>
      </c>
      <c r="BG153" s="181">
        <f>IF(N153="zákl. přenesená",J153,0)</f>
        <v>0</v>
      </c>
      <c r="BH153" s="181">
        <f>IF(N153="sníž. přenesená",J153,0)</f>
        <v>0</v>
      </c>
      <c r="BI153" s="181">
        <f>IF(N153="nulová",J153,0)</f>
        <v>0</v>
      </c>
      <c r="BJ153" s="180" t="s">
        <v>73</v>
      </c>
      <c r="BK153" s="181">
        <f t="shared" si="0"/>
        <v>0</v>
      </c>
      <c r="BL153" s="180" t="s">
        <v>114</v>
      </c>
      <c r="BM153" s="179" t="s">
        <v>170</v>
      </c>
    </row>
    <row r="154" spans="2:63" s="166" customFormat="1" ht="29.25">
      <c r="B154" s="167"/>
      <c r="C154" s="182"/>
      <c r="D154" s="183" t="s">
        <v>107</v>
      </c>
      <c r="E154" s="182"/>
      <c r="F154" s="184" t="s">
        <v>171</v>
      </c>
      <c r="G154" s="182"/>
      <c r="H154" s="289"/>
      <c r="I154" s="202"/>
      <c r="J154" s="182"/>
      <c r="K154" s="182"/>
      <c r="L154" s="174"/>
      <c r="M154" s="185"/>
      <c r="N154" s="186"/>
      <c r="O154" s="186"/>
      <c r="P154" s="186"/>
      <c r="Q154" s="186"/>
      <c r="R154" s="186"/>
      <c r="S154" s="186"/>
      <c r="T154" s="187"/>
      <c r="AT154" s="180" t="s">
        <v>107</v>
      </c>
      <c r="AU154" s="180" t="s">
        <v>73</v>
      </c>
      <c r="BK154" s="181">
        <f t="shared" si="0"/>
        <v>0</v>
      </c>
    </row>
    <row r="155" spans="2:65" s="166" customFormat="1" ht="36">
      <c r="B155" s="167"/>
      <c r="C155" s="168">
        <f>C153+1</f>
        <v>13</v>
      </c>
      <c r="D155" s="168" t="s">
        <v>105</v>
      </c>
      <c r="E155" s="169" t="s">
        <v>172</v>
      </c>
      <c r="F155" s="170" t="s">
        <v>173</v>
      </c>
      <c r="G155" s="171" t="s">
        <v>112</v>
      </c>
      <c r="H155" s="288">
        <v>25</v>
      </c>
      <c r="I155" s="172">
        <v>0</v>
      </c>
      <c r="J155" s="172">
        <f>ROUND(I155*H155,2)</f>
        <v>0</v>
      </c>
      <c r="K155" s="173"/>
      <c r="L155" s="174"/>
      <c r="M155" s="175" t="s">
        <v>1</v>
      </c>
      <c r="N155" s="176" t="s">
        <v>33</v>
      </c>
      <c r="O155" s="177">
        <v>0.113</v>
      </c>
      <c r="P155" s="177">
        <f>O155*H155</f>
        <v>2.825</v>
      </c>
      <c r="Q155" s="177">
        <v>0.00024</v>
      </c>
      <c r="R155" s="177">
        <f>Q155*H155</f>
        <v>0.006</v>
      </c>
      <c r="S155" s="177">
        <v>0</v>
      </c>
      <c r="T155" s="178">
        <f>S155*H155</f>
        <v>0</v>
      </c>
      <c r="AR155" s="179" t="s">
        <v>114</v>
      </c>
      <c r="AT155" s="179" t="s">
        <v>105</v>
      </c>
      <c r="AU155" s="179" t="s">
        <v>73</v>
      </c>
      <c r="AY155" s="180" t="s">
        <v>104</v>
      </c>
      <c r="BE155" s="181">
        <f>IF(N155="základní",J155,0)</f>
        <v>0</v>
      </c>
      <c r="BF155" s="181">
        <f>IF(N155="snížená",J155,0)</f>
        <v>0</v>
      </c>
      <c r="BG155" s="181">
        <f>IF(N155="zákl. přenesená",J155,0)</f>
        <v>0</v>
      </c>
      <c r="BH155" s="181">
        <f>IF(N155="sníž. přenesená",J155,0)</f>
        <v>0</v>
      </c>
      <c r="BI155" s="181">
        <f>IF(N155="nulová",J155,0)</f>
        <v>0</v>
      </c>
      <c r="BJ155" s="180" t="s">
        <v>73</v>
      </c>
      <c r="BK155" s="181">
        <f t="shared" si="0"/>
        <v>0</v>
      </c>
      <c r="BL155" s="180" t="s">
        <v>114</v>
      </c>
      <c r="BM155" s="179" t="s">
        <v>174</v>
      </c>
    </row>
    <row r="156" spans="2:63" s="166" customFormat="1" ht="29.25">
      <c r="B156" s="167"/>
      <c r="C156" s="182"/>
      <c r="D156" s="183" t="s">
        <v>107</v>
      </c>
      <c r="E156" s="182"/>
      <c r="F156" s="184" t="s">
        <v>175</v>
      </c>
      <c r="G156" s="182"/>
      <c r="H156" s="289"/>
      <c r="I156" s="202"/>
      <c r="J156" s="182"/>
      <c r="K156" s="182"/>
      <c r="L156" s="174"/>
      <c r="M156" s="185"/>
      <c r="N156" s="186"/>
      <c r="O156" s="186"/>
      <c r="P156" s="186"/>
      <c r="Q156" s="186"/>
      <c r="R156" s="186"/>
      <c r="S156" s="186"/>
      <c r="T156" s="187"/>
      <c r="AT156" s="180" t="s">
        <v>107</v>
      </c>
      <c r="AU156" s="180" t="s">
        <v>73</v>
      </c>
      <c r="BK156" s="181">
        <f t="shared" si="0"/>
        <v>0</v>
      </c>
    </row>
    <row r="157" spans="2:65" s="166" customFormat="1" ht="36">
      <c r="B157" s="167"/>
      <c r="C157" s="168">
        <f>C155+1</f>
        <v>14</v>
      </c>
      <c r="D157" s="168" t="s">
        <v>105</v>
      </c>
      <c r="E157" s="169" t="s">
        <v>176</v>
      </c>
      <c r="F157" s="170" t="s">
        <v>177</v>
      </c>
      <c r="G157" s="171" t="s">
        <v>112</v>
      </c>
      <c r="H157" s="288">
        <v>10</v>
      </c>
      <c r="I157" s="172">
        <v>0</v>
      </c>
      <c r="J157" s="172">
        <f>ROUND(I157*H157,2)</f>
        <v>0</v>
      </c>
      <c r="K157" s="173"/>
      <c r="L157" s="174"/>
      <c r="M157" s="175" t="s">
        <v>1</v>
      </c>
      <c r="N157" s="176" t="s">
        <v>33</v>
      </c>
      <c r="O157" s="177">
        <v>0.113</v>
      </c>
      <c r="P157" s="177">
        <f>O157*H157</f>
        <v>1.1300000000000001</v>
      </c>
      <c r="Q157" s="177">
        <v>0.00031</v>
      </c>
      <c r="R157" s="177">
        <f>Q157*H157</f>
        <v>0.0031</v>
      </c>
      <c r="S157" s="177">
        <v>0</v>
      </c>
      <c r="T157" s="178">
        <f>S157*H157</f>
        <v>0</v>
      </c>
      <c r="AR157" s="179" t="s">
        <v>114</v>
      </c>
      <c r="AT157" s="179" t="s">
        <v>105</v>
      </c>
      <c r="AU157" s="179" t="s">
        <v>73</v>
      </c>
      <c r="AY157" s="180" t="s">
        <v>104</v>
      </c>
      <c r="BE157" s="181">
        <f>IF(N157="základní",J157,0)</f>
        <v>0</v>
      </c>
      <c r="BF157" s="181">
        <f>IF(N157="snížená",J157,0)</f>
        <v>0</v>
      </c>
      <c r="BG157" s="181">
        <f>IF(N157="zákl. přenesená",J157,0)</f>
        <v>0</v>
      </c>
      <c r="BH157" s="181">
        <f>IF(N157="sníž. přenesená",J157,0)</f>
        <v>0</v>
      </c>
      <c r="BI157" s="181">
        <f>IF(N157="nulová",J157,0)</f>
        <v>0</v>
      </c>
      <c r="BJ157" s="180" t="s">
        <v>73</v>
      </c>
      <c r="BK157" s="181">
        <f t="shared" si="0"/>
        <v>0</v>
      </c>
      <c r="BL157" s="180" t="s">
        <v>114</v>
      </c>
      <c r="BM157" s="179" t="s">
        <v>178</v>
      </c>
    </row>
    <row r="158" spans="2:63" s="166" customFormat="1" ht="29.25">
      <c r="B158" s="167"/>
      <c r="C158" s="182"/>
      <c r="D158" s="183" t="s">
        <v>107</v>
      </c>
      <c r="E158" s="182"/>
      <c r="F158" s="184" t="s">
        <v>179</v>
      </c>
      <c r="G158" s="182"/>
      <c r="H158" s="289"/>
      <c r="I158" s="182"/>
      <c r="J158" s="182"/>
      <c r="K158" s="182"/>
      <c r="L158" s="174"/>
      <c r="M158" s="185"/>
      <c r="N158" s="186"/>
      <c r="O158" s="186"/>
      <c r="P158" s="186"/>
      <c r="Q158" s="186"/>
      <c r="R158" s="186"/>
      <c r="S158" s="186"/>
      <c r="T158" s="187"/>
      <c r="AT158" s="180" t="s">
        <v>107</v>
      </c>
      <c r="AU158" s="180" t="s">
        <v>73</v>
      </c>
      <c r="BK158" s="181">
        <f t="shared" si="0"/>
        <v>0</v>
      </c>
    </row>
    <row r="159" spans="2:65" s="166" customFormat="1" ht="36.75" customHeight="1">
      <c r="B159" s="167"/>
      <c r="C159" s="168">
        <f>C157+1</f>
        <v>15</v>
      </c>
      <c r="D159" s="236" t="s">
        <v>105</v>
      </c>
      <c r="E159" s="237" t="s">
        <v>749</v>
      </c>
      <c r="F159" s="238" t="s">
        <v>752</v>
      </c>
      <c r="G159" s="239" t="s">
        <v>112</v>
      </c>
      <c r="H159" s="290">
        <v>5</v>
      </c>
      <c r="I159" s="240">
        <v>0</v>
      </c>
      <c r="J159" s="240">
        <f>ROUND(I159*H159,2)</f>
        <v>0</v>
      </c>
      <c r="K159" s="173"/>
      <c r="L159" s="174"/>
      <c r="M159" s="175"/>
      <c r="N159" s="176"/>
      <c r="O159" s="177"/>
      <c r="P159" s="177"/>
      <c r="Q159" s="177"/>
      <c r="R159" s="177"/>
      <c r="S159" s="177"/>
      <c r="T159" s="178"/>
      <c r="AR159" s="179"/>
      <c r="AT159" s="179"/>
      <c r="AU159" s="179"/>
      <c r="AY159" s="180"/>
      <c r="BE159" s="181"/>
      <c r="BF159" s="181"/>
      <c r="BG159" s="181"/>
      <c r="BH159" s="181"/>
      <c r="BI159" s="181"/>
      <c r="BJ159" s="180"/>
      <c r="BK159" s="181">
        <f t="shared" si="0"/>
        <v>0</v>
      </c>
      <c r="BL159" s="180"/>
      <c r="BM159" s="179"/>
    </row>
    <row r="160" spans="2:65" s="166" customFormat="1" ht="36">
      <c r="B160" s="167"/>
      <c r="C160" s="168">
        <f>C159+1</f>
        <v>16</v>
      </c>
      <c r="D160" s="236" t="s">
        <v>105</v>
      </c>
      <c r="E160" s="237" t="s">
        <v>750</v>
      </c>
      <c r="F160" s="238" t="s">
        <v>751</v>
      </c>
      <c r="G160" s="239" t="s">
        <v>112</v>
      </c>
      <c r="H160" s="290">
        <v>12</v>
      </c>
      <c r="I160" s="240">
        <v>0</v>
      </c>
      <c r="J160" s="240">
        <f>ROUND(I160*H160,2)</f>
        <v>0</v>
      </c>
      <c r="K160" s="173"/>
      <c r="L160" s="174"/>
      <c r="M160" s="175" t="s">
        <v>1</v>
      </c>
      <c r="N160" s="176" t="s">
        <v>33</v>
      </c>
      <c r="O160" s="177">
        <v>0.113</v>
      </c>
      <c r="P160" s="177">
        <f aca="true" t="shared" si="1" ref="P160">O160*H160</f>
        <v>1.356</v>
      </c>
      <c r="Q160" s="177">
        <v>0.00031</v>
      </c>
      <c r="R160" s="177">
        <f aca="true" t="shared" si="2" ref="R160">Q160*H160</f>
        <v>0.00372</v>
      </c>
      <c r="S160" s="177">
        <v>0</v>
      </c>
      <c r="T160" s="178">
        <f aca="true" t="shared" si="3" ref="T160">S160*H160</f>
        <v>0</v>
      </c>
      <c r="AR160" s="179" t="s">
        <v>114</v>
      </c>
      <c r="AT160" s="179" t="s">
        <v>105</v>
      </c>
      <c r="AU160" s="179" t="s">
        <v>73</v>
      </c>
      <c r="AY160" s="180" t="s">
        <v>104</v>
      </c>
      <c r="BE160" s="181">
        <f aca="true" t="shared" si="4" ref="BE160">IF(N160="základní",J160,0)</f>
        <v>0</v>
      </c>
      <c r="BF160" s="181">
        <f aca="true" t="shared" si="5" ref="BF160">IF(N160="snížená",J160,0)</f>
        <v>0</v>
      </c>
      <c r="BG160" s="181">
        <f aca="true" t="shared" si="6" ref="BG160">IF(N160="zákl. přenesená",J160,0)</f>
        <v>0</v>
      </c>
      <c r="BH160" s="181">
        <f aca="true" t="shared" si="7" ref="BH160">IF(N160="sníž. přenesená",J160,0)</f>
        <v>0</v>
      </c>
      <c r="BI160" s="181">
        <f aca="true" t="shared" si="8" ref="BI160">IF(N160="nulová",J160,0)</f>
        <v>0</v>
      </c>
      <c r="BJ160" s="180" t="s">
        <v>73</v>
      </c>
      <c r="BK160" s="181">
        <f t="shared" si="0"/>
        <v>0</v>
      </c>
      <c r="BL160" s="180" t="s">
        <v>114</v>
      </c>
      <c r="BM160" s="179" t="s">
        <v>178</v>
      </c>
    </row>
    <row r="161" spans="2:65" s="166" customFormat="1" ht="60">
      <c r="B161" s="167"/>
      <c r="C161" s="168">
        <f aca="true" t="shared" si="9" ref="C161:C170">C160+1</f>
        <v>17</v>
      </c>
      <c r="D161" s="236" t="s">
        <v>105</v>
      </c>
      <c r="E161" s="237" t="s">
        <v>758</v>
      </c>
      <c r="F161" s="238" t="s">
        <v>759</v>
      </c>
      <c r="G161" s="239" t="s">
        <v>112</v>
      </c>
      <c r="H161" s="290">
        <f>45-6</f>
        <v>39</v>
      </c>
      <c r="I161" s="240">
        <v>0</v>
      </c>
      <c r="J161" s="240">
        <f aca="true" t="shared" si="10" ref="J161">ROUND(I161*H161,2)</f>
        <v>0</v>
      </c>
      <c r="K161" s="173"/>
      <c r="L161" s="174"/>
      <c r="M161" s="175" t="s">
        <v>1</v>
      </c>
      <c r="N161" s="176" t="s">
        <v>33</v>
      </c>
      <c r="O161" s="177">
        <v>0.113</v>
      </c>
      <c r="P161" s="177">
        <f>O161*H161</f>
        <v>4.407</v>
      </c>
      <c r="Q161" s="177">
        <v>0.00031</v>
      </c>
      <c r="R161" s="177">
        <f>Q161*H161</f>
        <v>0.01209</v>
      </c>
      <c r="S161" s="177">
        <v>0</v>
      </c>
      <c r="T161" s="178">
        <f>S161*H161</f>
        <v>0</v>
      </c>
      <c r="AR161" s="179" t="s">
        <v>114</v>
      </c>
      <c r="AT161" s="179" t="s">
        <v>105</v>
      </c>
      <c r="AU161" s="179" t="s">
        <v>73</v>
      </c>
      <c r="AY161" s="180" t="s">
        <v>104</v>
      </c>
      <c r="BE161" s="181">
        <f>IF(N161="základní",J161,0)</f>
        <v>0</v>
      </c>
      <c r="BF161" s="181">
        <f>IF(N161="snížená",J161,0)</f>
        <v>0</v>
      </c>
      <c r="BG161" s="181">
        <f>IF(N161="zákl. přenesená",J161,0)</f>
        <v>0</v>
      </c>
      <c r="BH161" s="181">
        <f>IF(N161="sníž. přenesená",J161,0)</f>
        <v>0</v>
      </c>
      <c r="BI161" s="181">
        <f>IF(N161="nulová",J161,0)</f>
        <v>0</v>
      </c>
      <c r="BJ161" s="180" t="s">
        <v>73</v>
      </c>
      <c r="BK161" s="181">
        <f t="shared" si="0"/>
        <v>0</v>
      </c>
      <c r="BL161" s="180" t="s">
        <v>114</v>
      </c>
      <c r="BM161" s="179" t="s">
        <v>178</v>
      </c>
    </row>
    <row r="162" spans="2:65" s="166" customFormat="1" ht="60">
      <c r="B162" s="167"/>
      <c r="C162" s="168">
        <f t="shared" si="9"/>
        <v>18</v>
      </c>
      <c r="D162" s="236" t="s">
        <v>105</v>
      </c>
      <c r="E162" s="237" t="s">
        <v>760</v>
      </c>
      <c r="F162" s="238" t="s">
        <v>761</v>
      </c>
      <c r="G162" s="239" t="s">
        <v>112</v>
      </c>
      <c r="H162" s="290">
        <f>6-4</f>
        <v>2</v>
      </c>
      <c r="I162" s="240">
        <v>0</v>
      </c>
      <c r="J162" s="240">
        <f>ROUND(I162*H162,2)</f>
        <v>0</v>
      </c>
      <c r="K162" s="173"/>
      <c r="L162" s="174"/>
      <c r="M162" s="175" t="s">
        <v>1</v>
      </c>
      <c r="N162" s="176" t="s">
        <v>33</v>
      </c>
      <c r="O162" s="177">
        <v>0.113</v>
      </c>
      <c r="P162" s="177">
        <f aca="true" t="shared" si="11" ref="P162:P168">O162*H162</f>
        <v>0.226</v>
      </c>
      <c r="Q162" s="177">
        <v>0.00031</v>
      </c>
      <c r="R162" s="177">
        <f aca="true" t="shared" si="12" ref="R162:R168">Q162*H162</f>
        <v>0.00062</v>
      </c>
      <c r="S162" s="177">
        <v>0</v>
      </c>
      <c r="T162" s="178">
        <f aca="true" t="shared" si="13" ref="T162:T168">S162*H162</f>
        <v>0</v>
      </c>
      <c r="AR162" s="179" t="s">
        <v>114</v>
      </c>
      <c r="AT162" s="179" t="s">
        <v>105</v>
      </c>
      <c r="AU162" s="179" t="s">
        <v>73</v>
      </c>
      <c r="AY162" s="180" t="s">
        <v>104</v>
      </c>
      <c r="BE162" s="181">
        <f aca="true" t="shared" si="14" ref="BE162:BE168">IF(N162="základní",J162,0)</f>
        <v>0</v>
      </c>
      <c r="BF162" s="181">
        <f aca="true" t="shared" si="15" ref="BF162:BF168">IF(N162="snížená",J162,0)</f>
        <v>0</v>
      </c>
      <c r="BG162" s="181">
        <f aca="true" t="shared" si="16" ref="BG162:BG168">IF(N162="zákl. přenesená",J162,0)</f>
        <v>0</v>
      </c>
      <c r="BH162" s="181">
        <f aca="true" t="shared" si="17" ref="BH162:BH168">IF(N162="sníž. přenesená",J162,0)</f>
        <v>0</v>
      </c>
      <c r="BI162" s="181">
        <f aca="true" t="shared" si="18" ref="BI162:BI168">IF(N162="nulová",J162,0)</f>
        <v>0</v>
      </c>
      <c r="BJ162" s="180" t="s">
        <v>73</v>
      </c>
      <c r="BK162" s="181">
        <f t="shared" si="0"/>
        <v>0</v>
      </c>
      <c r="BL162" s="180" t="s">
        <v>114</v>
      </c>
      <c r="BM162" s="179" t="s">
        <v>178</v>
      </c>
    </row>
    <row r="163" spans="2:65" s="166" customFormat="1" ht="48">
      <c r="B163" s="167"/>
      <c r="C163" s="168">
        <f t="shared" si="9"/>
        <v>19</v>
      </c>
      <c r="D163" s="236" t="s">
        <v>105</v>
      </c>
      <c r="E163" s="237" t="s">
        <v>762</v>
      </c>
      <c r="F163" s="238" t="s">
        <v>763</v>
      </c>
      <c r="G163" s="239" t="s">
        <v>112</v>
      </c>
      <c r="H163" s="290">
        <f>12-5</f>
        <v>7</v>
      </c>
      <c r="I163" s="240">
        <v>0</v>
      </c>
      <c r="J163" s="240">
        <f aca="true" t="shared" si="19" ref="J163:J169">ROUND(I163*H163,2)</f>
        <v>0</v>
      </c>
      <c r="K163" s="173"/>
      <c r="L163" s="174"/>
      <c r="M163" s="175" t="s">
        <v>1</v>
      </c>
      <c r="N163" s="176" t="s">
        <v>33</v>
      </c>
      <c r="O163" s="177">
        <v>0.113</v>
      </c>
      <c r="P163" s="177">
        <f t="shared" si="11"/>
        <v>0.791</v>
      </c>
      <c r="Q163" s="177">
        <v>0.00031</v>
      </c>
      <c r="R163" s="177">
        <f t="shared" si="12"/>
        <v>0.00217</v>
      </c>
      <c r="S163" s="177">
        <v>0</v>
      </c>
      <c r="T163" s="178">
        <f t="shared" si="13"/>
        <v>0</v>
      </c>
      <c r="AR163" s="179" t="s">
        <v>114</v>
      </c>
      <c r="AT163" s="179" t="s">
        <v>105</v>
      </c>
      <c r="AU163" s="179" t="s">
        <v>73</v>
      </c>
      <c r="AY163" s="180" t="s">
        <v>104</v>
      </c>
      <c r="BE163" s="181">
        <f t="shared" si="14"/>
        <v>0</v>
      </c>
      <c r="BF163" s="181">
        <f t="shared" si="15"/>
        <v>0</v>
      </c>
      <c r="BG163" s="181">
        <f t="shared" si="16"/>
        <v>0</v>
      </c>
      <c r="BH163" s="181">
        <f t="shared" si="17"/>
        <v>0</v>
      </c>
      <c r="BI163" s="181">
        <f t="shared" si="18"/>
        <v>0</v>
      </c>
      <c r="BJ163" s="180" t="s">
        <v>73</v>
      </c>
      <c r="BK163" s="181">
        <f t="shared" si="0"/>
        <v>0</v>
      </c>
      <c r="BL163" s="180" t="s">
        <v>114</v>
      </c>
      <c r="BM163" s="179" t="s">
        <v>178</v>
      </c>
    </row>
    <row r="164" spans="2:65" s="166" customFormat="1" ht="48">
      <c r="B164" s="167"/>
      <c r="C164" s="168">
        <f t="shared" si="9"/>
        <v>20</v>
      </c>
      <c r="D164" s="236" t="s">
        <v>105</v>
      </c>
      <c r="E164" s="237" t="s">
        <v>764</v>
      </c>
      <c r="F164" s="238" t="s">
        <v>765</v>
      </c>
      <c r="G164" s="239" t="s">
        <v>112</v>
      </c>
      <c r="H164" s="290">
        <f>6+53-11</f>
        <v>48</v>
      </c>
      <c r="I164" s="240">
        <v>0</v>
      </c>
      <c r="J164" s="240">
        <f t="shared" si="19"/>
        <v>0</v>
      </c>
      <c r="K164" s="173"/>
      <c r="L164" s="174"/>
      <c r="M164" s="175" t="s">
        <v>1</v>
      </c>
      <c r="N164" s="176" t="s">
        <v>33</v>
      </c>
      <c r="O164" s="177">
        <v>0.113</v>
      </c>
      <c r="P164" s="177">
        <f t="shared" si="11"/>
        <v>5.424</v>
      </c>
      <c r="Q164" s="177">
        <v>0.00031</v>
      </c>
      <c r="R164" s="177">
        <f t="shared" si="12"/>
        <v>0.01488</v>
      </c>
      <c r="S164" s="177">
        <v>0</v>
      </c>
      <c r="T164" s="178">
        <f t="shared" si="13"/>
        <v>0</v>
      </c>
      <c r="AR164" s="179" t="s">
        <v>114</v>
      </c>
      <c r="AT164" s="179" t="s">
        <v>105</v>
      </c>
      <c r="AU164" s="179" t="s">
        <v>73</v>
      </c>
      <c r="AY164" s="180" t="s">
        <v>104</v>
      </c>
      <c r="BE164" s="181">
        <f t="shared" si="14"/>
        <v>0</v>
      </c>
      <c r="BF164" s="181">
        <f t="shared" si="15"/>
        <v>0</v>
      </c>
      <c r="BG164" s="181">
        <f t="shared" si="16"/>
        <v>0</v>
      </c>
      <c r="BH164" s="181">
        <f t="shared" si="17"/>
        <v>0</v>
      </c>
      <c r="BI164" s="181">
        <f t="shared" si="18"/>
        <v>0</v>
      </c>
      <c r="BJ164" s="180" t="s">
        <v>73</v>
      </c>
      <c r="BK164" s="181">
        <f t="shared" si="0"/>
        <v>0</v>
      </c>
      <c r="BL164" s="180" t="s">
        <v>114</v>
      </c>
      <c r="BM164" s="179" t="s">
        <v>178</v>
      </c>
    </row>
    <row r="165" spans="2:65" s="166" customFormat="1" ht="48">
      <c r="B165" s="167"/>
      <c r="C165" s="168">
        <f t="shared" si="9"/>
        <v>21</v>
      </c>
      <c r="D165" s="236" t="s">
        <v>105</v>
      </c>
      <c r="E165" s="237" t="s">
        <v>766</v>
      </c>
      <c r="F165" s="238" t="s">
        <v>767</v>
      </c>
      <c r="G165" s="239" t="s">
        <v>112</v>
      </c>
      <c r="H165" s="290">
        <v>15</v>
      </c>
      <c r="I165" s="240">
        <v>0</v>
      </c>
      <c r="J165" s="240">
        <f t="shared" si="19"/>
        <v>0</v>
      </c>
      <c r="K165" s="173"/>
      <c r="L165" s="174"/>
      <c r="M165" s="175" t="s">
        <v>1</v>
      </c>
      <c r="N165" s="176" t="s">
        <v>33</v>
      </c>
      <c r="O165" s="177">
        <v>0.113</v>
      </c>
      <c r="P165" s="177">
        <f aca="true" t="shared" si="20" ref="P165">O165*H165</f>
        <v>1.695</v>
      </c>
      <c r="Q165" s="177">
        <v>0.00031</v>
      </c>
      <c r="R165" s="177">
        <f aca="true" t="shared" si="21" ref="R165">Q165*H165</f>
        <v>0.00465</v>
      </c>
      <c r="S165" s="177">
        <v>0</v>
      </c>
      <c r="T165" s="178">
        <f aca="true" t="shared" si="22" ref="T165">S165*H165</f>
        <v>0</v>
      </c>
      <c r="AR165" s="179" t="s">
        <v>114</v>
      </c>
      <c r="AT165" s="179" t="s">
        <v>105</v>
      </c>
      <c r="AU165" s="179" t="s">
        <v>73</v>
      </c>
      <c r="AY165" s="180" t="s">
        <v>104</v>
      </c>
      <c r="BE165" s="181">
        <f aca="true" t="shared" si="23" ref="BE165">IF(N165="základní",J165,0)</f>
        <v>0</v>
      </c>
      <c r="BF165" s="181">
        <f aca="true" t="shared" si="24" ref="BF165">IF(N165="snížená",J165,0)</f>
        <v>0</v>
      </c>
      <c r="BG165" s="181">
        <f aca="true" t="shared" si="25" ref="BG165">IF(N165="zákl. přenesená",J165,0)</f>
        <v>0</v>
      </c>
      <c r="BH165" s="181">
        <f aca="true" t="shared" si="26" ref="BH165">IF(N165="sníž. přenesená",J165,0)</f>
        <v>0</v>
      </c>
      <c r="BI165" s="181">
        <f aca="true" t="shared" si="27" ref="BI165">IF(N165="nulová",J165,0)</f>
        <v>0</v>
      </c>
      <c r="BJ165" s="180" t="s">
        <v>73</v>
      </c>
      <c r="BK165" s="181">
        <f t="shared" si="0"/>
        <v>0</v>
      </c>
      <c r="BL165" s="180" t="s">
        <v>114</v>
      </c>
      <c r="BM165" s="179" t="s">
        <v>178</v>
      </c>
    </row>
    <row r="166" spans="2:65" s="166" customFormat="1" ht="48">
      <c r="B166" s="167"/>
      <c r="C166" s="168">
        <f t="shared" si="9"/>
        <v>22</v>
      </c>
      <c r="D166" s="236" t="s">
        <v>105</v>
      </c>
      <c r="E166" s="237" t="s">
        <v>168</v>
      </c>
      <c r="F166" s="238" t="s">
        <v>755</v>
      </c>
      <c r="G166" s="239" t="s">
        <v>112</v>
      </c>
      <c r="H166" s="290">
        <v>14</v>
      </c>
      <c r="I166" s="240">
        <v>0</v>
      </c>
      <c r="J166" s="240">
        <f t="shared" si="19"/>
        <v>0</v>
      </c>
      <c r="K166" s="173"/>
      <c r="L166" s="174"/>
      <c r="M166" s="175" t="s">
        <v>1</v>
      </c>
      <c r="N166" s="176" t="s">
        <v>33</v>
      </c>
      <c r="O166" s="177">
        <v>0.113</v>
      </c>
      <c r="P166" s="177">
        <f t="shared" si="11"/>
        <v>1.582</v>
      </c>
      <c r="Q166" s="177">
        <v>0.00031</v>
      </c>
      <c r="R166" s="177">
        <f t="shared" si="12"/>
        <v>0.00434</v>
      </c>
      <c r="S166" s="177">
        <v>0</v>
      </c>
      <c r="T166" s="178">
        <f t="shared" si="13"/>
        <v>0</v>
      </c>
      <c r="AR166" s="179" t="s">
        <v>114</v>
      </c>
      <c r="AT166" s="179" t="s">
        <v>105</v>
      </c>
      <c r="AU166" s="179" t="s">
        <v>73</v>
      </c>
      <c r="AY166" s="180" t="s">
        <v>104</v>
      </c>
      <c r="BE166" s="181">
        <f t="shared" si="14"/>
        <v>0</v>
      </c>
      <c r="BF166" s="181">
        <f t="shared" si="15"/>
        <v>0</v>
      </c>
      <c r="BG166" s="181">
        <f t="shared" si="16"/>
        <v>0</v>
      </c>
      <c r="BH166" s="181">
        <f t="shared" si="17"/>
        <v>0</v>
      </c>
      <c r="BI166" s="181">
        <f t="shared" si="18"/>
        <v>0</v>
      </c>
      <c r="BJ166" s="180" t="s">
        <v>73</v>
      </c>
      <c r="BK166" s="181">
        <f t="shared" si="0"/>
        <v>0</v>
      </c>
      <c r="BL166" s="180" t="s">
        <v>114</v>
      </c>
      <c r="BM166" s="179" t="s">
        <v>178</v>
      </c>
    </row>
    <row r="167" spans="2:65" s="166" customFormat="1" ht="48">
      <c r="B167" s="167"/>
      <c r="C167" s="168">
        <f t="shared" si="9"/>
        <v>23</v>
      </c>
      <c r="D167" s="236" t="s">
        <v>105</v>
      </c>
      <c r="E167" s="237" t="s">
        <v>172</v>
      </c>
      <c r="F167" s="238" t="s">
        <v>756</v>
      </c>
      <c r="G167" s="239" t="s">
        <v>112</v>
      </c>
      <c r="H167" s="290">
        <v>6</v>
      </c>
      <c r="I167" s="240">
        <v>0</v>
      </c>
      <c r="J167" s="240">
        <f t="shared" si="19"/>
        <v>0</v>
      </c>
      <c r="K167" s="173"/>
      <c r="L167" s="174"/>
      <c r="M167" s="175" t="s">
        <v>1</v>
      </c>
      <c r="N167" s="176" t="s">
        <v>33</v>
      </c>
      <c r="O167" s="177">
        <v>0.113</v>
      </c>
      <c r="P167" s="177">
        <f aca="true" t="shared" si="28" ref="P167">O167*H167</f>
        <v>0.678</v>
      </c>
      <c r="Q167" s="177">
        <v>0.00031</v>
      </c>
      <c r="R167" s="177">
        <f aca="true" t="shared" si="29" ref="R167">Q167*H167</f>
        <v>0.00186</v>
      </c>
      <c r="S167" s="177">
        <v>0</v>
      </c>
      <c r="T167" s="178">
        <f aca="true" t="shared" si="30" ref="T167">S167*H167</f>
        <v>0</v>
      </c>
      <c r="AR167" s="179" t="s">
        <v>114</v>
      </c>
      <c r="AT167" s="179" t="s">
        <v>105</v>
      </c>
      <c r="AU167" s="179" t="s">
        <v>73</v>
      </c>
      <c r="AY167" s="180" t="s">
        <v>104</v>
      </c>
      <c r="BE167" s="181">
        <f aca="true" t="shared" si="31" ref="BE167">IF(N167="základní",J167,0)</f>
        <v>0</v>
      </c>
      <c r="BF167" s="181">
        <f aca="true" t="shared" si="32" ref="BF167">IF(N167="snížená",J167,0)</f>
        <v>0</v>
      </c>
      <c r="BG167" s="181">
        <f aca="true" t="shared" si="33" ref="BG167">IF(N167="zákl. přenesená",J167,0)</f>
        <v>0</v>
      </c>
      <c r="BH167" s="181">
        <f aca="true" t="shared" si="34" ref="BH167">IF(N167="sníž. přenesená",J167,0)</f>
        <v>0</v>
      </c>
      <c r="BI167" s="181">
        <f aca="true" t="shared" si="35" ref="BI167">IF(N167="nulová",J167,0)</f>
        <v>0</v>
      </c>
      <c r="BJ167" s="180" t="s">
        <v>73</v>
      </c>
      <c r="BK167" s="181">
        <f t="shared" si="0"/>
        <v>0</v>
      </c>
      <c r="BL167" s="180" t="s">
        <v>114</v>
      </c>
      <c r="BM167" s="179" t="s">
        <v>178</v>
      </c>
    </row>
    <row r="168" spans="2:65" s="166" customFormat="1" ht="48">
      <c r="B168" s="167"/>
      <c r="C168" s="168">
        <f t="shared" si="9"/>
        <v>24</v>
      </c>
      <c r="D168" s="236" t="s">
        <v>105</v>
      </c>
      <c r="E168" s="237" t="s">
        <v>176</v>
      </c>
      <c r="F168" s="238" t="s">
        <v>757</v>
      </c>
      <c r="G168" s="239" t="s">
        <v>112</v>
      </c>
      <c r="H168" s="290">
        <v>32</v>
      </c>
      <c r="I168" s="240">
        <v>0</v>
      </c>
      <c r="J168" s="240">
        <f t="shared" si="19"/>
        <v>0</v>
      </c>
      <c r="K168" s="173"/>
      <c r="L168" s="174"/>
      <c r="M168" s="175" t="s">
        <v>1</v>
      </c>
      <c r="N168" s="176" t="s">
        <v>33</v>
      </c>
      <c r="O168" s="177">
        <v>0.113</v>
      </c>
      <c r="P168" s="177">
        <f t="shared" si="11"/>
        <v>3.616</v>
      </c>
      <c r="Q168" s="177">
        <v>0.00031</v>
      </c>
      <c r="R168" s="177">
        <f t="shared" si="12"/>
        <v>0.00992</v>
      </c>
      <c r="S168" s="177">
        <v>0</v>
      </c>
      <c r="T168" s="178">
        <f t="shared" si="13"/>
        <v>0</v>
      </c>
      <c r="AR168" s="179" t="s">
        <v>114</v>
      </c>
      <c r="AT168" s="179" t="s">
        <v>105</v>
      </c>
      <c r="AU168" s="179" t="s">
        <v>73</v>
      </c>
      <c r="AY168" s="180" t="s">
        <v>104</v>
      </c>
      <c r="BE168" s="181">
        <f t="shared" si="14"/>
        <v>0</v>
      </c>
      <c r="BF168" s="181">
        <f t="shared" si="15"/>
        <v>0</v>
      </c>
      <c r="BG168" s="181">
        <f t="shared" si="16"/>
        <v>0</v>
      </c>
      <c r="BH168" s="181">
        <f t="shared" si="17"/>
        <v>0</v>
      </c>
      <c r="BI168" s="181">
        <f t="shared" si="18"/>
        <v>0</v>
      </c>
      <c r="BJ168" s="180" t="s">
        <v>73</v>
      </c>
      <c r="BK168" s="181">
        <f t="shared" si="0"/>
        <v>0</v>
      </c>
      <c r="BL168" s="180" t="s">
        <v>114</v>
      </c>
      <c r="BM168" s="179" t="s">
        <v>178</v>
      </c>
    </row>
    <row r="169" spans="2:65" s="166" customFormat="1" ht="48">
      <c r="B169" s="167"/>
      <c r="C169" s="168">
        <f t="shared" si="9"/>
        <v>25</v>
      </c>
      <c r="D169" s="236" t="s">
        <v>105</v>
      </c>
      <c r="E169" s="237" t="s">
        <v>753</v>
      </c>
      <c r="F169" s="238" t="s">
        <v>754</v>
      </c>
      <c r="G169" s="239" t="s">
        <v>112</v>
      </c>
      <c r="H169" s="290">
        <v>36</v>
      </c>
      <c r="I169" s="240">
        <v>0</v>
      </c>
      <c r="J169" s="240">
        <f t="shared" si="19"/>
        <v>0</v>
      </c>
      <c r="K169" s="173"/>
      <c r="L169" s="174"/>
      <c r="M169" s="205" t="s">
        <v>1</v>
      </c>
      <c r="N169" s="206" t="s">
        <v>33</v>
      </c>
      <c r="O169" s="200">
        <v>0.106</v>
      </c>
      <c r="P169" s="200">
        <f>O169*H169</f>
        <v>3.816</v>
      </c>
      <c r="Q169" s="200">
        <v>9E-05</v>
      </c>
      <c r="R169" s="200">
        <f>Q169*H169</f>
        <v>0.0032400000000000003</v>
      </c>
      <c r="S169" s="200">
        <v>0</v>
      </c>
      <c r="T169" s="201">
        <f>S169*H169</f>
        <v>0</v>
      </c>
      <c r="AR169" s="179" t="s">
        <v>114</v>
      </c>
      <c r="AT169" s="179" t="s">
        <v>105</v>
      </c>
      <c r="AU169" s="179" t="s">
        <v>73</v>
      </c>
      <c r="AY169" s="180" t="s">
        <v>104</v>
      </c>
      <c r="BE169" s="181">
        <f>IF(N169="základní",J169,0)</f>
        <v>0</v>
      </c>
      <c r="BF169" s="181">
        <f>IF(N169="snížená",J169,0)</f>
        <v>0</v>
      </c>
      <c r="BG169" s="181">
        <f>IF(N169="zákl. přenesená",J169,0)</f>
        <v>0</v>
      </c>
      <c r="BH169" s="181">
        <f>IF(N169="sníž. přenesená",J169,0)</f>
        <v>0</v>
      </c>
      <c r="BI169" s="181">
        <f>IF(N169="nulová",J169,0)</f>
        <v>0</v>
      </c>
      <c r="BJ169" s="180" t="s">
        <v>73</v>
      </c>
      <c r="BK169" s="181">
        <f t="shared" si="0"/>
        <v>0</v>
      </c>
      <c r="BL169" s="180" t="s">
        <v>114</v>
      </c>
      <c r="BM169" s="179" t="s">
        <v>180</v>
      </c>
    </row>
    <row r="170" spans="2:65" s="166" customFormat="1" ht="24">
      <c r="B170" s="167"/>
      <c r="C170" s="168">
        <f t="shared" si="9"/>
        <v>26</v>
      </c>
      <c r="D170" s="168" t="s">
        <v>105</v>
      </c>
      <c r="E170" s="169" t="s">
        <v>181</v>
      </c>
      <c r="F170" s="170" t="s">
        <v>182</v>
      </c>
      <c r="G170" s="171" t="s">
        <v>108</v>
      </c>
      <c r="H170" s="288">
        <v>0.846</v>
      </c>
      <c r="I170" s="172">
        <v>0</v>
      </c>
      <c r="J170" s="172">
        <f>ROUND(I170*H170,2)</f>
        <v>0</v>
      </c>
      <c r="K170" s="173"/>
      <c r="L170" s="174"/>
      <c r="M170" s="205" t="s">
        <v>1</v>
      </c>
      <c r="N170" s="206" t="s">
        <v>33</v>
      </c>
      <c r="O170" s="200">
        <v>1.74</v>
      </c>
      <c r="P170" s="200">
        <f>O170*H170</f>
        <v>1.47204</v>
      </c>
      <c r="Q170" s="200">
        <v>0</v>
      </c>
      <c r="R170" s="200">
        <f>Q170*H170</f>
        <v>0</v>
      </c>
      <c r="S170" s="200">
        <v>0</v>
      </c>
      <c r="T170" s="201">
        <f>S170*H170</f>
        <v>0</v>
      </c>
      <c r="AR170" s="179" t="s">
        <v>114</v>
      </c>
      <c r="AT170" s="179" t="s">
        <v>105</v>
      </c>
      <c r="AU170" s="179" t="s">
        <v>73</v>
      </c>
      <c r="AY170" s="180" t="s">
        <v>104</v>
      </c>
      <c r="BE170" s="181">
        <f>IF(N170="základní",J170,0)</f>
        <v>0</v>
      </c>
      <c r="BF170" s="181">
        <f>IF(N170="snížená",J170,0)</f>
        <v>0</v>
      </c>
      <c r="BG170" s="181">
        <f>IF(N170="zákl. přenesená",J170,0)</f>
        <v>0</v>
      </c>
      <c r="BH170" s="181">
        <f>IF(N170="sníž. přenesená",J170,0)</f>
        <v>0</v>
      </c>
      <c r="BI170" s="181">
        <f>IF(N170="nulová",J170,0)</f>
        <v>0</v>
      </c>
      <c r="BJ170" s="180" t="s">
        <v>73</v>
      </c>
      <c r="BK170" s="181">
        <f t="shared" si="0"/>
        <v>0</v>
      </c>
      <c r="BL170" s="180" t="s">
        <v>114</v>
      </c>
      <c r="BM170" s="179" t="s">
        <v>183</v>
      </c>
    </row>
    <row r="171" spans="2:47" s="166" customFormat="1" ht="29.25">
      <c r="B171" s="167"/>
      <c r="C171" s="182"/>
      <c r="D171" s="183" t="s">
        <v>107</v>
      </c>
      <c r="E171" s="182"/>
      <c r="F171" s="184" t="s">
        <v>184</v>
      </c>
      <c r="G171" s="182"/>
      <c r="H171" s="289"/>
      <c r="I171" s="182"/>
      <c r="J171" s="224"/>
      <c r="K171" s="182"/>
      <c r="L171" s="174"/>
      <c r="M171" s="185"/>
      <c r="N171" s="186"/>
      <c r="O171" s="186"/>
      <c r="P171" s="186"/>
      <c r="Q171" s="186"/>
      <c r="R171" s="186"/>
      <c r="S171" s="186"/>
      <c r="T171" s="187"/>
      <c r="AT171" s="180" t="s">
        <v>107</v>
      </c>
      <c r="AU171" s="180" t="s">
        <v>73</v>
      </c>
    </row>
    <row r="172" spans="1:63" s="219" customFormat="1" ht="15">
      <c r="A172" s="207"/>
      <c r="B172" s="208"/>
      <c r="C172" s="209"/>
      <c r="D172" s="210" t="s">
        <v>67</v>
      </c>
      <c r="E172" s="223" t="s">
        <v>116</v>
      </c>
      <c r="F172" s="223" t="s">
        <v>117</v>
      </c>
      <c r="G172" s="209"/>
      <c r="H172" s="291"/>
      <c r="I172" s="209"/>
      <c r="J172" s="224">
        <f>BK172</f>
        <v>0</v>
      </c>
      <c r="K172" s="221"/>
      <c r="L172" s="225"/>
      <c r="M172" s="226"/>
      <c r="N172" s="227"/>
      <c r="O172" s="227"/>
      <c r="P172" s="228" t="e">
        <f>P173+P234+P337+P395+#REF!+P414</f>
        <v>#REF!</v>
      </c>
      <c r="Q172" s="227"/>
      <c r="R172" s="228" t="e">
        <f>R173+R234+R337+R395+#REF!+R414</f>
        <v>#REF!</v>
      </c>
      <c r="S172" s="227"/>
      <c r="T172" s="229" t="e">
        <f>T173+T234+T337+T395+#REF!+T414</f>
        <v>#REF!</v>
      </c>
      <c r="V172" s="295"/>
      <c r="AR172" s="230" t="s">
        <v>75</v>
      </c>
      <c r="AT172" s="231" t="s">
        <v>67</v>
      </c>
      <c r="AU172" s="231" t="s">
        <v>68</v>
      </c>
      <c r="AY172" s="230" t="s">
        <v>104</v>
      </c>
      <c r="BK172" s="232">
        <f>BK173+BK234+BK337+BK395+BK414</f>
        <v>0</v>
      </c>
    </row>
    <row r="173" spans="1:63" s="219" customFormat="1" ht="12.75">
      <c r="A173" s="207"/>
      <c r="B173" s="208"/>
      <c r="C173" s="209"/>
      <c r="D173" s="210" t="s">
        <v>67</v>
      </c>
      <c r="E173" s="233" t="s">
        <v>185</v>
      </c>
      <c r="F173" s="233" t="s">
        <v>186</v>
      </c>
      <c r="G173" s="209"/>
      <c r="H173" s="291"/>
      <c r="I173" s="209"/>
      <c r="J173" s="234">
        <f>BK173</f>
        <v>0</v>
      </c>
      <c r="K173" s="221"/>
      <c r="L173" s="225"/>
      <c r="M173" s="226"/>
      <c r="N173" s="227"/>
      <c r="O173" s="227"/>
      <c r="P173" s="228">
        <f>SUM(P174:P233)</f>
        <v>91.88358399999997</v>
      </c>
      <c r="Q173" s="227"/>
      <c r="R173" s="228">
        <f>SUM(R174:R233)</f>
        <v>0.20250368000000005</v>
      </c>
      <c r="S173" s="227"/>
      <c r="T173" s="229">
        <f>SUM(T174:T233)</f>
        <v>0</v>
      </c>
      <c r="V173" s="277"/>
      <c r="AR173" s="230" t="s">
        <v>75</v>
      </c>
      <c r="AT173" s="231" t="s">
        <v>67</v>
      </c>
      <c r="AU173" s="231" t="s">
        <v>73</v>
      </c>
      <c r="AY173" s="230" t="s">
        <v>104</v>
      </c>
      <c r="BK173" s="232">
        <f>SUM(BK174:BK233)</f>
        <v>0</v>
      </c>
    </row>
    <row r="174" spans="2:65" s="166" customFormat="1" ht="12">
      <c r="B174" s="167"/>
      <c r="C174" s="168">
        <f>C170+1</f>
        <v>27</v>
      </c>
      <c r="D174" s="168" t="s">
        <v>105</v>
      </c>
      <c r="E174" s="169" t="s">
        <v>187</v>
      </c>
      <c r="F174" s="170" t="s">
        <v>188</v>
      </c>
      <c r="G174" s="171" t="s">
        <v>112</v>
      </c>
      <c r="H174" s="288">
        <f>38-6</f>
        <v>32</v>
      </c>
      <c r="I174" s="172">
        <v>0</v>
      </c>
      <c r="J174" s="172">
        <f>ROUND(I174*H174,2)</f>
        <v>0</v>
      </c>
      <c r="K174" s="173"/>
      <c r="L174" s="174"/>
      <c r="M174" s="175" t="s">
        <v>1</v>
      </c>
      <c r="N174" s="176" t="s">
        <v>33</v>
      </c>
      <c r="O174" s="177">
        <v>0.728</v>
      </c>
      <c r="P174" s="177">
        <f>O174*H174</f>
        <v>23.296</v>
      </c>
      <c r="Q174" s="177">
        <v>0.00035</v>
      </c>
      <c r="R174" s="177">
        <f>Q174*H174</f>
        <v>0.0112</v>
      </c>
      <c r="S174" s="177">
        <v>0</v>
      </c>
      <c r="T174" s="178">
        <f>S174*H174</f>
        <v>0</v>
      </c>
      <c r="AR174" s="179" t="s">
        <v>114</v>
      </c>
      <c r="AT174" s="179" t="s">
        <v>105</v>
      </c>
      <c r="AU174" s="179" t="s">
        <v>75</v>
      </c>
      <c r="AY174" s="180" t="s">
        <v>104</v>
      </c>
      <c r="BE174" s="181">
        <f>IF(N174="základní",J174,0)</f>
        <v>0</v>
      </c>
      <c r="BF174" s="181">
        <f>IF(N174="snížená",J174,0)</f>
        <v>0</v>
      </c>
      <c r="BG174" s="181">
        <f>IF(N174="zákl. přenesená",J174,0)</f>
        <v>0</v>
      </c>
      <c r="BH174" s="181">
        <f>IF(N174="sníž. přenesená",J174,0)</f>
        <v>0</v>
      </c>
      <c r="BI174" s="181">
        <f>IF(N174="nulová",J174,0)</f>
        <v>0</v>
      </c>
      <c r="BJ174" s="180" t="s">
        <v>73</v>
      </c>
      <c r="BK174" s="181">
        <f>ROUND(I174*H174,2)</f>
        <v>0</v>
      </c>
      <c r="BL174" s="180" t="s">
        <v>114</v>
      </c>
      <c r="BM174" s="179" t="s">
        <v>189</v>
      </c>
    </row>
    <row r="175" spans="2:63" s="166" customFormat="1" ht="12">
      <c r="B175" s="167"/>
      <c r="C175" s="182"/>
      <c r="D175" s="183" t="s">
        <v>107</v>
      </c>
      <c r="E175" s="182"/>
      <c r="F175" s="184" t="s">
        <v>190</v>
      </c>
      <c r="G175" s="182"/>
      <c r="H175" s="289"/>
      <c r="I175" s="182"/>
      <c r="J175" s="182"/>
      <c r="K175" s="182"/>
      <c r="L175" s="174"/>
      <c r="M175" s="185"/>
      <c r="N175" s="186"/>
      <c r="O175" s="186"/>
      <c r="P175" s="186"/>
      <c r="Q175" s="186"/>
      <c r="R175" s="186"/>
      <c r="S175" s="186"/>
      <c r="T175" s="187"/>
      <c r="AT175" s="180" t="s">
        <v>107</v>
      </c>
      <c r="AU175" s="180" t="s">
        <v>75</v>
      </c>
      <c r="BK175" s="181">
        <f aca="true" t="shared" si="36" ref="BK175:BK233">ROUND(I175*H175,2)</f>
        <v>0</v>
      </c>
    </row>
    <row r="176" spans="2:65" s="166" customFormat="1" ht="12">
      <c r="B176" s="167"/>
      <c r="C176" s="168">
        <f>C174+1</f>
        <v>28</v>
      </c>
      <c r="D176" s="168" t="s">
        <v>105</v>
      </c>
      <c r="E176" s="169" t="s">
        <v>191</v>
      </c>
      <c r="F176" s="170" t="s">
        <v>192</v>
      </c>
      <c r="G176" s="171" t="s">
        <v>112</v>
      </c>
      <c r="H176" s="288">
        <f>5-4</f>
        <v>1</v>
      </c>
      <c r="I176" s="172">
        <v>0</v>
      </c>
      <c r="J176" s="172">
        <f>ROUND(I176*H176,2)</f>
        <v>0</v>
      </c>
      <c r="K176" s="173"/>
      <c r="L176" s="174"/>
      <c r="M176" s="175" t="s">
        <v>1</v>
      </c>
      <c r="N176" s="176" t="s">
        <v>33</v>
      </c>
      <c r="O176" s="177">
        <v>0.797</v>
      </c>
      <c r="P176" s="177">
        <f>O176*H176</f>
        <v>0.797</v>
      </c>
      <c r="Q176" s="177">
        <v>0.00057</v>
      </c>
      <c r="R176" s="177">
        <f>Q176*H176</f>
        <v>0.00057</v>
      </c>
      <c r="S176" s="177">
        <v>0</v>
      </c>
      <c r="T176" s="178">
        <f>S176*H176</f>
        <v>0</v>
      </c>
      <c r="AR176" s="179" t="s">
        <v>114</v>
      </c>
      <c r="AT176" s="179" t="s">
        <v>105</v>
      </c>
      <c r="AU176" s="179" t="s">
        <v>75</v>
      </c>
      <c r="AY176" s="180" t="s">
        <v>104</v>
      </c>
      <c r="BE176" s="181">
        <f>IF(N176="základní",J176,0)</f>
        <v>0</v>
      </c>
      <c r="BF176" s="181">
        <f>IF(N176="snížená",J176,0)</f>
        <v>0</v>
      </c>
      <c r="BG176" s="181">
        <f>IF(N176="zákl. přenesená",J176,0)</f>
        <v>0</v>
      </c>
      <c r="BH176" s="181">
        <f>IF(N176="sníž. přenesená",J176,0)</f>
        <v>0</v>
      </c>
      <c r="BI176" s="181">
        <f>IF(N176="nulová",J176,0)</f>
        <v>0</v>
      </c>
      <c r="BJ176" s="180" t="s">
        <v>73</v>
      </c>
      <c r="BK176" s="181">
        <f t="shared" si="36"/>
        <v>0</v>
      </c>
      <c r="BL176" s="180" t="s">
        <v>114</v>
      </c>
      <c r="BM176" s="179" t="s">
        <v>193</v>
      </c>
    </row>
    <row r="177" spans="2:63" s="166" customFormat="1" ht="12">
      <c r="B177" s="167"/>
      <c r="C177" s="182"/>
      <c r="D177" s="183" t="s">
        <v>107</v>
      </c>
      <c r="E177" s="182"/>
      <c r="F177" s="184" t="s">
        <v>194</v>
      </c>
      <c r="G177" s="182"/>
      <c r="H177" s="289"/>
      <c r="I177" s="182"/>
      <c r="J177" s="182"/>
      <c r="K177" s="182"/>
      <c r="L177" s="174"/>
      <c r="M177" s="185"/>
      <c r="N177" s="186"/>
      <c r="O177" s="186"/>
      <c r="P177" s="186"/>
      <c r="Q177" s="186"/>
      <c r="R177" s="186"/>
      <c r="S177" s="186"/>
      <c r="T177" s="187"/>
      <c r="AT177" s="180" t="s">
        <v>107</v>
      </c>
      <c r="AU177" s="180" t="s">
        <v>75</v>
      </c>
      <c r="BK177" s="181">
        <f t="shared" si="36"/>
        <v>0</v>
      </c>
    </row>
    <row r="178" spans="2:65" s="166" customFormat="1" ht="12">
      <c r="B178" s="167"/>
      <c r="C178" s="168">
        <f>C176+1</f>
        <v>29</v>
      </c>
      <c r="D178" s="168" t="s">
        <v>105</v>
      </c>
      <c r="E178" s="169" t="s">
        <v>195</v>
      </c>
      <c r="F178" s="170" t="s">
        <v>196</v>
      </c>
      <c r="G178" s="171" t="s">
        <v>112</v>
      </c>
      <c r="H178" s="288">
        <f>5-1</f>
        <v>4</v>
      </c>
      <c r="I178" s="172">
        <v>0</v>
      </c>
      <c r="J178" s="172">
        <f>ROUND(I178*H178,2)</f>
        <v>0</v>
      </c>
      <c r="K178" s="173"/>
      <c r="L178" s="174"/>
      <c r="M178" s="175" t="s">
        <v>1</v>
      </c>
      <c r="N178" s="176" t="s">
        <v>33</v>
      </c>
      <c r="O178" s="177">
        <v>0.832</v>
      </c>
      <c r="P178" s="177">
        <f>O178*H178</f>
        <v>3.328</v>
      </c>
      <c r="Q178" s="177">
        <v>0.00114</v>
      </c>
      <c r="R178" s="177">
        <f>Q178*H178</f>
        <v>0.00456</v>
      </c>
      <c r="S178" s="177">
        <v>0</v>
      </c>
      <c r="T178" s="178">
        <f>S178*H178</f>
        <v>0</v>
      </c>
      <c r="AR178" s="179" t="s">
        <v>114</v>
      </c>
      <c r="AT178" s="179" t="s">
        <v>105</v>
      </c>
      <c r="AU178" s="179" t="s">
        <v>75</v>
      </c>
      <c r="AY178" s="180" t="s">
        <v>104</v>
      </c>
      <c r="BE178" s="181">
        <f>IF(N178="základní",J178,0)</f>
        <v>0</v>
      </c>
      <c r="BF178" s="181">
        <f>IF(N178="snížená",J178,0)</f>
        <v>0</v>
      </c>
      <c r="BG178" s="181">
        <f>IF(N178="zákl. přenesená",J178,0)</f>
        <v>0</v>
      </c>
      <c r="BH178" s="181">
        <f>IF(N178="sníž. přenesená",J178,0)</f>
        <v>0</v>
      </c>
      <c r="BI178" s="181">
        <f>IF(N178="nulová",J178,0)</f>
        <v>0</v>
      </c>
      <c r="BJ178" s="180" t="s">
        <v>73</v>
      </c>
      <c r="BK178" s="181">
        <f t="shared" si="36"/>
        <v>0</v>
      </c>
      <c r="BL178" s="180" t="s">
        <v>114</v>
      </c>
      <c r="BM178" s="179" t="s">
        <v>197</v>
      </c>
    </row>
    <row r="179" spans="2:63" s="166" customFormat="1" ht="12">
      <c r="B179" s="167"/>
      <c r="C179" s="182"/>
      <c r="D179" s="183" t="s">
        <v>107</v>
      </c>
      <c r="E179" s="182"/>
      <c r="F179" s="184" t="s">
        <v>198</v>
      </c>
      <c r="G179" s="182"/>
      <c r="H179" s="289"/>
      <c r="I179" s="182"/>
      <c r="J179" s="182"/>
      <c r="K179" s="182"/>
      <c r="L179" s="174"/>
      <c r="M179" s="185"/>
      <c r="N179" s="186"/>
      <c r="O179" s="186"/>
      <c r="P179" s="186"/>
      <c r="Q179" s="186"/>
      <c r="R179" s="186"/>
      <c r="S179" s="186"/>
      <c r="T179" s="187"/>
      <c r="AT179" s="180" t="s">
        <v>107</v>
      </c>
      <c r="AU179" s="180" t="s">
        <v>75</v>
      </c>
      <c r="BK179" s="181">
        <f t="shared" si="36"/>
        <v>0</v>
      </c>
    </row>
    <row r="180" spans="2:65" s="166" customFormat="1" ht="12">
      <c r="B180" s="167"/>
      <c r="C180" s="168">
        <f>C178+1</f>
        <v>30</v>
      </c>
      <c r="D180" s="168" t="s">
        <v>105</v>
      </c>
      <c r="E180" s="169" t="s">
        <v>199</v>
      </c>
      <c r="F180" s="170" t="s">
        <v>200</v>
      </c>
      <c r="G180" s="171" t="s">
        <v>112</v>
      </c>
      <c r="H180" s="288">
        <f>10-5</f>
        <v>5</v>
      </c>
      <c r="I180" s="172">
        <v>0</v>
      </c>
      <c r="J180" s="172">
        <f>ROUND(I180*H180,2)</f>
        <v>0</v>
      </c>
      <c r="K180" s="173"/>
      <c r="L180" s="174"/>
      <c r="M180" s="175" t="s">
        <v>1</v>
      </c>
      <c r="N180" s="176" t="s">
        <v>33</v>
      </c>
      <c r="O180" s="177">
        <v>0.78</v>
      </c>
      <c r="P180" s="177">
        <f>O180*H180</f>
        <v>3.9000000000000004</v>
      </c>
      <c r="Q180" s="177">
        <v>0.00059</v>
      </c>
      <c r="R180" s="177">
        <f>Q180*H180</f>
        <v>0.0029500000000000004</v>
      </c>
      <c r="S180" s="177">
        <v>0</v>
      </c>
      <c r="T180" s="178">
        <f>S180*H180</f>
        <v>0</v>
      </c>
      <c r="AR180" s="179" t="s">
        <v>114</v>
      </c>
      <c r="AT180" s="179" t="s">
        <v>105</v>
      </c>
      <c r="AU180" s="179" t="s">
        <v>75</v>
      </c>
      <c r="AY180" s="180" t="s">
        <v>104</v>
      </c>
      <c r="BE180" s="181">
        <f>IF(N180="základní",J180,0)</f>
        <v>0</v>
      </c>
      <c r="BF180" s="181">
        <f>IF(N180="snížená",J180,0)</f>
        <v>0</v>
      </c>
      <c r="BG180" s="181">
        <f>IF(N180="zákl. přenesená",J180,0)</f>
        <v>0</v>
      </c>
      <c r="BH180" s="181">
        <f>IF(N180="sníž. přenesená",J180,0)</f>
        <v>0</v>
      </c>
      <c r="BI180" s="181">
        <f>IF(N180="nulová",J180,0)</f>
        <v>0</v>
      </c>
      <c r="BJ180" s="180" t="s">
        <v>73</v>
      </c>
      <c r="BK180" s="181">
        <f t="shared" si="36"/>
        <v>0</v>
      </c>
      <c r="BL180" s="180" t="s">
        <v>114</v>
      </c>
      <c r="BM180" s="179" t="s">
        <v>201</v>
      </c>
    </row>
    <row r="181" spans="2:63" s="166" customFormat="1" ht="12">
      <c r="B181" s="167"/>
      <c r="C181" s="182"/>
      <c r="D181" s="183" t="s">
        <v>107</v>
      </c>
      <c r="E181" s="182"/>
      <c r="F181" s="184" t="s">
        <v>202</v>
      </c>
      <c r="G181" s="182"/>
      <c r="H181" s="289"/>
      <c r="I181" s="182"/>
      <c r="J181" s="182"/>
      <c r="K181" s="182"/>
      <c r="L181" s="174"/>
      <c r="M181" s="185"/>
      <c r="N181" s="186"/>
      <c r="O181" s="186"/>
      <c r="P181" s="186"/>
      <c r="Q181" s="186"/>
      <c r="R181" s="186"/>
      <c r="S181" s="186"/>
      <c r="T181" s="187"/>
      <c r="AT181" s="180" t="s">
        <v>107</v>
      </c>
      <c r="AU181" s="180" t="s">
        <v>75</v>
      </c>
      <c r="BK181" s="181">
        <f t="shared" si="36"/>
        <v>0</v>
      </c>
    </row>
    <row r="182" spans="2:65" s="166" customFormat="1" ht="12">
      <c r="B182" s="167"/>
      <c r="C182" s="168">
        <f>C180+1</f>
        <v>31</v>
      </c>
      <c r="D182" s="168" t="s">
        <v>105</v>
      </c>
      <c r="E182" s="169" t="s">
        <v>203</v>
      </c>
      <c r="F182" s="170" t="s">
        <v>204</v>
      </c>
      <c r="G182" s="171" t="s">
        <v>112</v>
      </c>
      <c r="H182" s="288">
        <f>44-11</f>
        <v>33</v>
      </c>
      <c r="I182" s="172">
        <v>0</v>
      </c>
      <c r="J182" s="172">
        <f>ROUND(I182*H182,2)</f>
        <v>0</v>
      </c>
      <c r="K182" s="173"/>
      <c r="L182" s="174"/>
      <c r="M182" s="175" t="s">
        <v>1</v>
      </c>
      <c r="N182" s="176" t="s">
        <v>33</v>
      </c>
      <c r="O182" s="177">
        <v>0.827</v>
      </c>
      <c r="P182" s="177">
        <f>O182*H182</f>
        <v>27.290999999999997</v>
      </c>
      <c r="Q182" s="177">
        <v>0.00121</v>
      </c>
      <c r="R182" s="177">
        <f>Q182*H182</f>
        <v>0.03993</v>
      </c>
      <c r="S182" s="177">
        <v>0</v>
      </c>
      <c r="T182" s="178">
        <f>S182*H182</f>
        <v>0</v>
      </c>
      <c r="AR182" s="179" t="s">
        <v>106</v>
      </c>
      <c r="AT182" s="179" t="s">
        <v>105</v>
      </c>
      <c r="AU182" s="179" t="s">
        <v>75</v>
      </c>
      <c r="AY182" s="180" t="s">
        <v>104</v>
      </c>
      <c r="BE182" s="181">
        <f>IF(N182="základní",J182,0)</f>
        <v>0</v>
      </c>
      <c r="BF182" s="181">
        <f>IF(N182="snížená",J182,0)</f>
        <v>0</v>
      </c>
      <c r="BG182" s="181">
        <f>IF(N182="zákl. přenesená",J182,0)</f>
        <v>0</v>
      </c>
      <c r="BH182" s="181">
        <f>IF(N182="sníž. přenesená",J182,0)</f>
        <v>0</v>
      </c>
      <c r="BI182" s="181">
        <f>IF(N182="nulová",J182,0)</f>
        <v>0</v>
      </c>
      <c r="BJ182" s="180" t="s">
        <v>73</v>
      </c>
      <c r="BK182" s="181">
        <f t="shared" si="36"/>
        <v>0</v>
      </c>
      <c r="BL182" s="180" t="s">
        <v>106</v>
      </c>
      <c r="BM182" s="179" t="s">
        <v>205</v>
      </c>
    </row>
    <row r="183" spans="2:63" s="166" customFormat="1" ht="12">
      <c r="B183" s="167"/>
      <c r="C183" s="182"/>
      <c r="D183" s="183" t="s">
        <v>107</v>
      </c>
      <c r="E183" s="182"/>
      <c r="F183" s="184" t="s">
        <v>206</v>
      </c>
      <c r="G183" s="182"/>
      <c r="H183" s="289"/>
      <c r="I183" s="182"/>
      <c r="J183" s="182"/>
      <c r="K183" s="182"/>
      <c r="L183" s="174"/>
      <c r="M183" s="185"/>
      <c r="N183" s="186"/>
      <c r="O183" s="186"/>
      <c r="P183" s="186"/>
      <c r="Q183" s="186"/>
      <c r="R183" s="186"/>
      <c r="S183" s="186"/>
      <c r="T183" s="187"/>
      <c r="AT183" s="180" t="s">
        <v>107</v>
      </c>
      <c r="AU183" s="180" t="s">
        <v>75</v>
      </c>
      <c r="BK183" s="181">
        <f t="shared" si="36"/>
        <v>0</v>
      </c>
    </row>
    <row r="184" spans="2:65" s="166" customFormat="1" ht="12">
      <c r="B184" s="167"/>
      <c r="C184" s="168">
        <f>C182+1</f>
        <v>32</v>
      </c>
      <c r="D184" s="168" t="s">
        <v>105</v>
      </c>
      <c r="E184" s="169" t="s">
        <v>677</v>
      </c>
      <c r="F184" s="170" t="s">
        <v>673</v>
      </c>
      <c r="G184" s="171" t="s">
        <v>112</v>
      </c>
      <c r="H184" s="288">
        <v>3</v>
      </c>
      <c r="I184" s="172">
        <v>0</v>
      </c>
      <c r="J184" s="172">
        <f>ROUND(I184*H184,2)</f>
        <v>0</v>
      </c>
      <c r="K184" s="173"/>
      <c r="L184" s="174"/>
      <c r="M184" s="175" t="s">
        <v>1</v>
      </c>
      <c r="N184" s="176" t="s">
        <v>33</v>
      </c>
      <c r="O184" s="177">
        <v>0.283</v>
      </c>
      <c r="P184" s="177">
        <f>O184*H184</f>
        <v>0.849</v>
      </c>
      <c r="Q184" s="177">
        <v>0.00053</v>
      </c>
      <c r="R184" s="177">
        <f>Q184*H184</f>
        <v>0.0015899999999999998</v>
      </c>
      <c r="S184" s="177">
        <v>0</v>
      </c>
      <c r="T184" s="178">
        <f>S184*H184</f>
        <v>0</v>
      </c>
      <c r="AR184" s="179" t="s">
        <v>114</v>
      </c>
      <c r="AT184" s="179" t="s">
        <v>105</v>
      </c>
      <c r="AU184" s="179" t="s">
        <v>75</v>
      </c>
      <c r="AY184" s="180" t="s">
        <v>104</v>
      </c>
      <c r="BE184" s="181">
        <f>IF(N184="základní",J184,0)</f>
        <v>0</v>
      </c>
      <c r="BF184" s="181">
        <f>IF(N184="snížená",J184,0)</f>
        <v>0</v>
      </c>
      <c r="BG184" s="181">
        <f>IF(N184="zákl. přenesená",J184,0)</f>
        <v>0</v>
      </c>
      <c r="BH184" s="181">
        <f>IF(N184="sníž. přenesená",J184,0)</f>
        <v>0</v>
      </c>
      <c r="BI184" s="181">
        <f>IF(N184="nulová",J184,0)</f>
        <v>0</v>
      </c>
      <c r="BJ184" s="180" t="s">
        <v>73</v>
      </c>
      <c r="BK184" s="181">
        <f t="shared" si="36"/>
        <v>0</v>
      </c>
      <c r="BL184" s="180" t="s">
        <v>114</v>
      </c>
      <c r="BM184" s="179" t="s">
        <v>207</v>
      </c>
    </row>
    <row r="185" spans="2:63" s="166" customFormat="1" ht="12">
      <c r="B185" s="167"/>
      <c r="C185" s="182"/>
      <c r="D185" s="183" t="s">
        <v>107</v>
      </c>
      <c r="E185" s="182"/>
      <c r="F185" s="184" t="s">
        <v>675</v>
      </c>
      <c r="G185" s="182"/>
      <c r="H185" s="289"/>
      <c r="I185" s="182"/>
      <c r="J185" s="182"/>
      <c r="K185" s="182"/>
      <c r="L185" s="174"/>
      <c r="M185" s="185"/>
      <c r="N185" s="186"/>
      <c r="O185" s="186"/>
      <c r="P185" s="186"/>
      <c r="Q185" s="186"/>
      <c r="R185" s="186"/>
      <c r="S185" s="186"/>
      <c r="T185" s="187"/>
      <c r="AT185" s="180" t="s">
        <v>107</v>
      </c>
      <c r="AU185" s="180" t="s">
        <v>75</v>
      </c>
      <c r="BK185" s="181">
        <f t="shared" si="36"/>
        <v>0</v>
      </c>
    </row>
    <row r="186" spans="2:65" s="166" customFormat="1" ht="12">
      <c r="B186" s="167"/>
      <c r="C186" s="168">
        <f>C184+1</f>
        <v>33</v>
      </c>
      <c r="D186" s="168" t="s">
        <v>105</v>
      </c>
      <c r="E186" s="169" t="s">
        <v>678</v>
      </c>
      <c r="F186" s="170" t="s">
        <v>674</v>
      </c>
      <c r="G186" s="171" t="s">
        <v>112</v>
      </c>
      <c r="H186" s="288">
        <v>6</v>
      </c>
      <c r="I186" s="172">
        <v>0</v>
      </c>
      <c r="J186" s="172">
        <f>ROUND(I186*H186,2)</f>
        <v>0</v>
      </c>
      <c r="K186" s="173"/>
      <c r="L186" s="174"/>
      <c r="M186" s="175" t="s">
        <v>1</v>
      </c>
      <c r="N186" s="176" t="s">
        <v>33</v>
      </c>
      <c r="O186" s="177">
        <v>0.314</v>
      </c>
      <c r="P186" s="177">
        <f>O186*H186</f>
        <v>1.884</v>
      </c>
      <c r="Q186" s="177">
        <v>0.00109</v>
      </c>
      <c r="R186" s="177">
        <f>Q186*H186</f>
        <v>0.006540000000000001</v>
      </c>
      <c r="S186" s="177">
        <v>0</v>
      </c>
      <c r="T186" s="178">
        <f>S186*H186</f>
        <v>0</v>
      </c>
      <c r="AR186" s="179" t="s">
        <v>114</v>
      </c>
      <c r="AT186" s="179" t="s">
        <v>105</v>
      </c>
      <c r="AU186" s="179" t="s">
        <v>75</v>
      </c>
      <c r="AY186" s="180" t="s">
        <v>104</v>
      </c>
      <c r="BE186" s="181">
        <f>IF(N186="základní",J186,0)</f>
        <v>0</v>
      </c>
      <c r="BF186" s="181">
        <f>IF(N186="snížená",J186,0)</f>
        <v>0</v>
      </c>
      <c r="BG186" s="181">
        <f>IF(N186="zákl. přenesená",J186,0)</f>
        <v>0</v>
      </c>
      <c r="BH186" s="181">
        <f>IF(N186="sníž. přenesená",J186,0)</f>
        <v>0</v>
      </c>
      <c r="BI186" s="181">
        <f>IF(N186="nulová",J186,0)</f>
        <v>0</v>
      </c>
      <c r="BJ186" s="180" t="s">
        <v>73</v>
      </c>
      <c r="BK186" s="181">
        <f t="shared" si="36"/>
        <v>0</v>
      </c>
      <c r="BL186" s="180" t="s">
        <v>114</v>
      </c>
      <c r="BM186" s="179" t="s">
        <v>208</v>
      </c>
    </row>
    <row r="187" spans="2:63" s="166" customFormat="1" ht="12">
      <c r="B187" s="167"/>
      <c r="C187" s="182"/>
      <c r="D187" s="183" t="s">
        <v>107</v>
      </c>
      <c r="E187" s="182"/>
      <c r="F187" s="184" t="s">
        <v>676</v>
      </c>
      <c r="G187" s="182"/>
      <c r="H187" s="289"/>
      <c r="I187" s="182"/>
      <c r="J187" s="182"/>
      <c r="K187" s="182"/>
      <c r="L187" s="174"/>
      <c r="M187" s="185"/>
      <c r="N187" s="186"/>
      <c r="O187" s="186"/>
      <c r="P187" s="186"/>
      <c r="Q187" s="186"/>
      <c r="R187" s="186"/>
      <c r="S187" s="186"/>
      <c r="T187" s="187"/>
      <c r="AT187" s="180" t="s">
        <v>107</v>
      </c>
      <c r="AU187" s="180" t="s">
        <v>75</v>
      </c>
      <c r="BK187" s="181">
        <f t="shared" si="36"/>
        <v>0</v>
      </c>
    </row>
    <row r="188" spans="2:65" s="166" customFormat="1" ht="12">
      <c r="B188" s="167"/>
      <c r="C188" s="168">
        <f>C186+1</f>
        <v>34</v>
      </c>
      <c r="D188" s="168" t="s">
        <v>105</v>
      </c>
      <c r="E188" s="169" t="s">
        <v>679</v>
      </c>
      <c r="F188" s="170" t="s">
        <v>685</v>
      </c>
      <c r="G188" s="171" t="s">
        <v>112</v>
      </c>
      <c r="H188" s="288">
        <v>14</v>
      </c>
      <c r="I188" s="172">
        <v>0</v>
      </c>
      <c r="J188" s="172">
        <f>ROUND(I188*H188,2)</f>
        <v>0</v>
      </c>
      <c r="K188" s="173"/>
      <c r="L188" s="174"/>
      <c r="M188" s="205" t="s">
        <v>1</v>
      </c>
      <c r="N188" s="206" t="s">
        <v>33</v>
      </c>
      <c r="O188" s="200">
        <v>0.176</v>
      </c>
      <c r="P188" s="200">
        <f>O188*H188</f>
        <v>2.464</v>
      </c>
      <c r="Q188" s="200">
        <v>0.00016</v>
      </c>
      <c r="R188" s="200">
        <f>Q188*H188</f>
        <v>0.0022400000000000002</v>
      </c>
      <c r="S188" s="200">
        <v>0</v>
      </c>
      <c r="T188" s="201">
        <f>S188*H188</f>
        <v>0</v>
      </c>
      <c r="AR188" s="179" t="s">
        <v>114</v>
      </c>
      <c r="AT188" s="179" t="s">
        <v>105</v>
      </c>
      <c r="AU188" s="179" t="s">
        <v>75</v>
      </c>
      <c r="AY188" s="180" t="s">
        <v>104</v>
      </c>
      <c r="BE188" s="181">
        <f>IF(N188="základní",J188,0)</f>
        <v>0</v>
      </c>
      <c r="BF188" s="181">
        <f>IF(N188="snížená",J188,0)</f>
        <v>0</v>
      </c>
      <c r="BG188" s="181">
        <f>IF(N188="zákl. přenesená",J188,0)</f>
        <v>0</v>
      </c>
      <c r="BH188" s="181">
        <f>IF(N188="sníž. přenesená",J188,0)</f>
        <v>0</v>
      </c>
      <c r="BI188" s="181">
        <f>IF(N188="nulová",J188,0)</f>
        <v>0</v>
      </c>
      <c r="BJ188" s="180" t="s">
        <v>73</v>
      </c>
      <c r="BK188" s="181">
        <f t="shared" si="36"/>
        <v>0</v>
      </c>
      <c r="BL188" s="180" t="s">
        <v>114</v>
      </c>
      <c r="BM188" s="179" t="s">
        <v>209</v>
      </c>
    </row>
    <row r="189" spans="2:63" s="166" customFormat="1" ht="12">
      <c r="B189" s="167"/>
      <c r="C189" s="182"/>
      <c r="D189" s="183" t="s">
        <v>107</v>
      </c>
      <c r="E189" s="182"/>
      <c r="F189" s="184" t="s">
        <v>190</v>
      </c>
      <c r="G189" s="182"/>
      <c r="H189" s="289"/>
      <c r="I189" s="182"/>
      <c r="J189" s="182"/>
      <c r="K189" s="182"/>
      <c r="L189" s="174"/>
      <c r="M189" s="185"/>
      <c r="N189" s="186"/>
      <c r="O189" s="186"/>
      <c r="P189" s="186"/>
      <c r="Q189" s="186"/>
      <c r="R189" s="186"/>
      <c r="S189" s="186"/>
      <c r="T189" s="187"/>
      <c r="AT189" s="180" t="s">
        <v>107</v>
      </c>
      <c r="AU189" s="180" t="s">
        <v>75</v>
      </c>
      <c r="BK189" s="181">
        <f t="shared" si="36"/>
        <v>0</v>
      </c>
    </row>
    <row r="190" spans="2:65" s="166" customFormat="1" ht="12">
      <c r="B190" s="167"/>
      <c r="C190" s="168">
        <f>C188+1</f>
        <v>35</v>
      </c>
      <c r="D190" s="168" t="s">
        <v>105</v>
      </c>
      <c r="E190" s="169" t="s">
        <v>680</v>
      </c>
      <c r="F190" s="170" t="s">
        <v>686</v>
      </c>
      <c r="G190" s="171" t="s">
        <v>112</v>
      </c>
      <c r="H190" s="288">
        <v>1</v>
      </c>
      <c r="I190" s="172">
        <v>0</v>
      </c>
      <c r="J190" s="172">
        <f>ROUND(I190*H190,2)</f>
        <v>0</v>
      </c>
      <c r="K190" s="173"/>
      <c r="L190" s="174"/>
      <c r="M190" s="205" t="s">
        <v>1</v>
      </c>
      <c r="N190" s="206" t="s">
        <v>33</v>
      </c>
      <c r="O190" s="200">
        <v>0.177</v>
      </c>
      <c r="P190" s="200">
        <f>O190*H190</f>
        <v>0.177</v>
      </c>
      <c r="Q190" s="200">
        <v>0.00029</v>
      </c>
      <c r="R190" s="200">
        <f>Q190*H190</f>
        <v>0.00029</v>
      </c>
      <c r="S190" s="200">
        <v>0</v>
      </c>
      <c r="T190" s="201">
        <f>S190*H190</f>
        <v>0</v>
      </c>
      <c r="AR190" s="179" t="s">
        <v>114</v>
      </c>
      <c r="AT190" s="179" t="s">
        <v>105</v>
      </c>
      <c r="AU190" s="179" t="s">
        <v>75</v>
      </c>
      <c r="AY190" s="180" t="s">
        <v>104</v>
      </c>
      <c r="BE190" s="181">
        <f>IF(N190="základní",J190,0)</f>
        <v>0</v>
      </c>
      <c r="BF190" s="181">
        <f>IF(N190="snížená",J190,0)</f>
        <v>0</v>
      </c>
      <c r="BG190" s="181">
        <f>IF(N190="zákl. přenesená",J190,0)</f>
        <v>0</v>
      </c>
      <c r="BH190" s="181">
        <f>IF(N190="sníž. přenesená",J190,0)</f>
        <v>0</v>
      </c>
      <c r="BI190" s="181">
        <f>IF(N190="nulová",J190,0)</f>
        <v>0</v>
      </c>
      <c r="BJ190" s="180" t="s">
        <v>73</v>
      </c>
      <c r="BK190" s="181">
        <f t="shared" si="36"/>
        <v>0</v>
      </c>
      <c r="BL190" s="180" t="s">
        <v>114</v>
      </c>
      <c r="BM190" s="179" t="s">
        <v>210</v>
      </c>
    </row>
    <row r="191" spans="2:63" s="166" customFormat="1" ht="12">
      <c r="B191" s="167"/>
      <c r="C191" s="182"/>
      <c r="D191" s="183" t="s">
        <v>107</v>
      </c>
      <c r="E191" s="182"/>
      <c r="F191" s="184" t="s">
        <v>194</v>
      </c>
      <c r="G191" s="182"/>
      <c r="H191" s="289"/>
      <c r="I191" s="182"/>
      <c r="J191" s="182"/>
      <c r="K191" s="182"/>
      <c r="L191" s="174"/>
      <c r="M191" s="185"/>
      <c r="N191" s="186"/>
      <c r="O191" s="186"/>
      <c r="P191" s="186"/>
      <c r="Q191" s="186"/>
      <c r="R191" s="186"/>
      <c r="S191" s="186"/>
      <c r="T191" s="187"/>
      <c r="AT191" s="180" t="s">
        <v>107</v>
      </c>
      <c r="AU191" s="180" t="s">
        <v>75</v>
      </c>
      <c r="BK191" s="181">
        <f t="shared" si="36"/>
        <v>0</v>
      </c>
    </row>
    <row r="192" spans="2:65" s="166" customFormat="1" ht="12">
      <c r="B192" s="167"/>
      <c r="C192" s="168">
        <f>C190+1</f>
        <v>36</v>
      </c>
      <c r="D192" s="168" t="s">
        <v>105</v>
      </c>
      <c r="E192" s="169" t="s">
        <v>681</v>
      </c>
      <c r="F192" s="170" t="s">
        <v>687</v>
      </c>
      <c r="G192" s="171" t="s">
        <v>112</v>
      </c>
      <c r="H192" s="288">
        <v>5</v>
      </c>
      <c r="I192" s="172">
        <v>0</v>
      </c>
      <c r="J192" s="172">
        <f>ROUND(I192*H192,2)</f>
        <v>0</v>
      </c>
      <c r="K192" s="173"/>
      <c r="L192" s="174"/>
      <c r="M192" s="205" t="s">
        <v>1</v>
      </c>
      <c r="N192" s="206" t="s">
        <v>33</v>
      </c>
      <c r="O192" s="200">
        <v>0.175</v>
      </c>
      <c r="P192" s="200">
        <f>O192*H192</f>
        <v>0.875</v>
      </c>
      <c r="Q192" s="200">
        <v>8E-05</v>
      </c>
      <c r="R192" s="200">
        <f>Q192*H192</f>
        <v>0.0004</v>
      </c>
      <c r="S192" s="200">
        <v>0</v>
      </c>
      <c r="T192" s="201">
        <f>S192*H192</f>
        <v>0</v>
      </c>
      <c r="AR192" s="179" t="s">
        <v>114</v>
      </c>
      <c r="AT192" s="179" t="s">
        <v>105</v>
      </c>
      <c r="AU192" s="179" t="s">
        <v>75</v>
      </c>
      <c r="AY192" s="180" t="s">
        <v>104</v>
      </c>
      <c r="BE192" s="181">
        <f>IF(N192="základní",J192,0)</f>
        <v>0</v>
      </c>
      <c r="BF192" s="181">
        <f>IF(N192="snížená",J192,0)</f>
        <v>0</v>
      </c>
      <c r="BG192" s="181">
        <f>IF(N192="zákl. přenesená",J192,0)</f>
        <v>0</v>
      </c>
      <c r="BH192" s="181">
        <f>IF(N192="sníž. přenesená",J192,0)</f>
        <v>0</v>
      </c>
      <c r="BI192" s="181">
        <f>IF(N192="nulová",J192,0)</f>
        <v>0</v>
      </c>
      <c r="BJ192" s="180" t="s">
        <v>73</v>
      </c>
      <c r="BK192" s="181">
        <f t="shared" si="36"/>
        <v>0</v>
      </c>
      <c r="BL192" s="180" t="s">
        <v>114</v>
      </c>
      <c r="BM192" s="179" t="s">
        <v>211</v>
      </c>
    </row>
    <row r="193" spans="2:65" s="166" customFormat="1" ht="12">
      <c r="B193" s="167"/>
      <c r="C193" s="182"/>
      <c r="D193" s="183" t="s">
        <v>107</v>
      </c>
      <c r="E193" s="182"/>
      <c r="F193" s="184" t="s">
        <v>198</v>
      </c>
      <c r="G193" s="182"/>
      <c r="H193" s="289"/>
      <c r="I193" s="182"/>
      <c r="J193" s="182"/>
      <c r="K193" s="196"/>
      <c r="L193" s="197"/>
      <c r="M193" s="198" t="s">
        <v>1</v>
      </c>
      <c r="N193" s="199" t="s">
        <v>33</v>
      </c>
      <c r="O193" s="200">
        <v>0</v>
      </c>
      <c r="P193" s="200">
        <f>O193*H193</f>
        <v>0</v>
      </c>
      <c r="Q193" s="200">
        <v>0.00033</v>
      </c>
      <c r="R193" s="200">
        <f>Q193*H193</f>
        <v>0</v>
      </c>
      <c r="S193" s="200">
        <v>0</v>
      </c>
      <c r="T193" s="201">
        <f>S193*H193</f>
        <v>0</v>
      </c>
      <c r="AR193" s="179" t="s">
        <v>115</v>
      </c>
      <c r="AT193" s="179" t="s">
        <v>110</v>
      </c>
      <c r="AU193" s="179" t="s">
        <v>75</v>
      </c>
      <c r="AY193" s="180" t="s">
        <v>104</v>
      </c>
      <c r="BE193" s="181">
        <f>IF(N193="základní",J193,0)</f>
        <v>0</v>
      </c>
      <c r="BF193" s="181">
        <f>IF(N193="snížená",J193,0)</f>
        <v>0</v>
      </c>
      <c r="BG193" s="181">
        <f>IF(N193="zákl. přenesená",J193,0)</f>
        <v>0</v>
      </c>
      <c r="BH193" s="181">
        <f>IF(N193="sníž. přenesená",J193,0)</f>
        <v>0</v>
      </c>
      <c r="BI193" s="181">
        <f>IF(N193="nulová",J193,0)</f>
        <v>0</v>
      </c>
      <c r="BJ193" s="180" t="s">
        <v>73</v>
      </c>
      <c r="BK193" s="181">
        <f t="shared" si="36"/>
        <v>0</v>
      </c>
      <c r="BL193" s="180" t="s">
        <v>114</v>
      </c>
      <c r="BM193" s="179" t="s">
        <v>212</v>
      </c>
    </row>
    <row r="194" spans="2:63" s="166" customFormat="1" ht="12">
      <c r="B194" s="167"/>
      <c r="C194" s="168">
        <f>C192+1</f>
        <v>37</v>
      </c>
      <c r="D194" s="168" t="s">
        <v>105</v>
      </c>
      <c r="E194" s="169" t="s">
        <v>682</v>
      </c>
      <c r="F194" s="170" t="s">
        <v>688</v>
      </c>
      <c r="G194" s="171" t="s">
        <v>112</v>
      </c>
      <c r="H194" s="288">
        <v>6</v>
      </c>
      <c r="I194" s="172">
        <v>0</v>
      </c>
      <c r="J194" s="172">
        <f>ROUND(I194*H194,2)</f>
        <v>0</v>
      </c>
      <c r="K194" s="182"/>
      <c r="L194" s="174"/>
      <c r="M194" s="185"/>
      <c r="N194" s="186"/>
      <c r="O194" s="186"/>
      <c r="P194" s="186"/>
      <c r="Q194" s="186"/>
      <c r="R194" s="186"/>
      <c r="S194" s="186"/>
      <c r="T194" s="187"/>
      <c r="AT194" s="180" t="s">
        <v>107</v>
      </c>
      <c r="AU194" s="180" t="s">
        <v>75</v>
      </c>
      <c r="BK194" s="181">
        <f t="shared" si="36"/>
        <v>0</v>
      </c>
    </row>
    <row r="195" spans="2:65" s="166" customFormat="1" ht="12">
      <c r="B195" s="167"/>
      <c r="C195" s="182"/>
      <c r="D195" s="183" t="s">
        <v>107</v>
      </c>
      <c r="E195" s="182"/>
      <c r="F195" s="184" t="s">
        <v>202</v>
      </c>
      <c r="G195" s="182"/>
      <c r="H195" s="289"/>
      <c r="I195" s="182"/>
      <c r="J195" s="182"/>
      <c r="K195" s="173"/>
      <c r="L195" s="174"/>
      <c r="M195" s="205" t="s">
        <v>1</v>
      </c>
      <c r="N195" s="206" t="s">
        <v>33</v>
      </c>
      <c r="O195" s="200">
        <v>0.363</v>
      </c>
      <c r="P195" s="200">
        <f>O195*H195</f>
        <v>0</v>
      </c>
      <c r="Q195" s="200">
        <v>0.00125</v>
      </c>
      <c r="R195" s="200">
        <f>Q195*H195</f>
        <v>0</v>
      </c>
      <c r="S195" s="200">
        <v>0</v>
      </c>
      <c r="T195" s="201">
        <f>S195*H195</f>
        <v>0</v>
      </c>
      <c r="AR195" s="179" t="s">
        <v>114</v>
      </c>
      <c r="AT195" s="179" t="s">
        <v>105</v>
      </c>
      <c r="AU195" s="179" t="s">
        <v>75</v>
      </c>
      <c r="AY195" s="180" t="s">
        <v>104</v>
      </c>
      <c r="BE195" s="181">
        <f>IF(N195="základní",J195,0)</f>
        <v>0</v>
      </c>
      <c r="BF195" s="181">
        <f>IF(N195="snížená",J195,0)</f>
        <v>0</v>
      </c>
      <c r="BG195" s="181">
        <f>IF(N195="zákl. přenesená",J195,0)</f>
        <v>0</v>
      </c>
      <c r="BH195" s="181">
        <f>IF(N195="sníž. přenesená",J195,0)</f>
        <v>0</v>
      </c>
      <c r="BI195" s="181">
        <f>IF(N195="nulová",J195,0)</f>
        <v>0</v>
      </c>
      <c r="BJ195" s="180" t="s">
        <v>73</v>
      </c>
      <c r="BK195" s="181">
        <f t="shared" si="36"/>
        <v>0</v>
      </c>
      <c r="BL195" s="180" t="s">
        <v>114</v>
      </c>
      <c r="BM195" s="179" t="s">
        <v>213</v>
      </c>
    </row>
    <row r="196" spans="2:63" s="166" customFormat="1" ht="12">
      <c r="B196" s="167"/>
      <c r="C196" s="168">
        <f>C194+1</f>
        <v>38</v>
      </c>
      <c r="D196" s="168" t="s">
        <v>105</v>
      </c>
      <c r="E196" s="169" t="s">
        <v>683</v>
      </c>
      <c r="F196" s="170" t="s">
        <v>689</v>
      </c>
      <c r="G196" s="171" t="s">
        <v>112</v>
      </c>
      <c r="H196" s="288">
        <v>27</v>
      </c>
      <c r="I196" s="172">
        <v>0</v>
      </c>
      <c r="J196" s="172">
        <f>ROUND(I196*H196,2)</f>
        <v>0</v>
      </c>
      <c r="K196" s="182"/>
      <c r="L196" s="174"/>
      <c r="M196" s="185"/>
      <c r="N196" s="186"/>
      <c r="O196" s="186"/>
      <c r="P196" s="186"/>
      <c r="Q196" s="186"/>
      <c r="R196" s="186"/>
      <c r="S196" s="186"/>
      <c r="T196" s="187"/>
      <c r="AT196" s="180" t="s">
        <v>107</v>
      </c>
      <c r="AU196" s="180" t="s">
        <v>75</v>
      </c>
      <c r="BK196" s="181">
        <f t="shared" si="36"/>
        <v>0</v>
      </c>
    </row>
    <row r="197" spans="2:63" s="247" customFormat="1" ht="12">
      <c r="B197" s="241"/>
      <c r="C197" s="182"/>
      <c r="D197" s="183" t="s">
        <v>107</v>
      </c>
      <c r="E197" s="182"/>
      <c r="F197" s="184" t="s">
        <v>206</v>
      </c>
      <c r="G197" s="182"/>
      <c r="H197" s="289"/>
      <c r="I197" s="182"/>
      <c r="J197" s="182"/>
      <c r="K197" s="242"/>
      <c r="L197" s="243"/>
      <c r="M197" s="244"/>
      <c r="N197" s="245"/>
      <c r="O197" s="245"/>
      <c r="P197" s="245"/>
      <c r="Q197" s="245"/>
      <c r="R197" s="245"/>
      <c r="S197" s="245"/>
      <c r="T197" s="246"/>
      <c r="AT197" s="248" t="s">
        <v>214</v>
      </c>
      <c r="AU197" s="248" t="s">
        <v>75</v>
      </c>
      <c r="AV197" s="247" t="s">
        <v>75</v>
      </c>
      <c r="AW197" s="247" t="s">
        <v>25</v>
      </c>
      <c r="AX197" s="247" t="s">
        <v>68</v>
      </c>
      <c r="AY197" s="248" t="s">
        <v>104</v>
      </c>
      <c r="BK197" s="181">
        <f t="shared" si="36"/>
        <v>0</v>
      </c>
    </row>
    <row r="198" spans="2:63" s="247" customFormat="1" ht="12">
      <c r="B198" s="241"/>
      <c r="C198" s="168">
        <f>C196+1</f>
        <v>39</v>
      </c>
      <c r="D198" s="168" t="s">
        <v>105</v>
      </c>
      <c r="E198" s="169" t="s">
        <v>684</v>
      </c>
      <c r="F198" s="170" t="s">
        <v>690</v>
      </c>
      <c r="G198" s="171" t="s">
        <v>112</v>
      </c>
      <c r="H198" s="288">
        <v>36</v>
      </c>
      <c r="I198" s="172">
        <v>0</v>
      </c>
      <c r="J198" s="172">
        <f>ROUND(I198*H198,2)</f>
        <v>0</v>
      </c>
      <c r="K198" s="242"/>
      <c r="L198" s="243"/>
      <c r="M198" s="244"/>
      <c r="N198" s="245"/>
      <c r="O198" s="245"/>
      <c r="P198" s="245"/>
      <c r="Q198" s="245"/>
      <c r="R198" s="245"/>
      <c r="S198" s="245"/>
      <c r="T198" s="246"/>
      <c r="AT198" s="248" t="s">
        <v>214</v>
      </c>
      <c r="AU198" s="248" t="s">
        <v>75</v>
      </c>
      <c r="AV198" s="247" t="s">
        <v>75</v>
      </c>
      <c r="AW198" s="247" t="s">
        <v>25</v>
      </c>
      <c r="AX198" s="247" t="s">
        <v>68</v>
      </c>
      <c r="AY198" s="248" t="s">
        <v>104</v>
      </c>
      <c r="BK198" s="181">
        <f t="shared" si="36"/>
        <v>0</v>
      </c>
    </row>
    <row r="199" spans="2:63" s="254" customFormat="1" ht="12">
      <c r="B199" s="249"/>
      <c r="C199" s="182"/>
      <c r="D199" s="183" t="s">
        <v>107</v>
      </c>
      <c r="E199" s="182"/>
      <c r="F199" s="184" t="s">
        <v>675</v>
      </c>
      <c r="G199" s="182"/>
      <c r="H199" s="289"/>
      <c r="I199" s="182"/>
      <c r="J199" s="182"/>
      <c r="K199" s="202"/>
      <c r="L199" s="250"/>
      <c r="M199" s="251"/>
      <c r="N199" s="252"/>
      <c r="O199" s="252"/>
      <c r="P199" s="252"/>
      <c r="Q199" s="252"/>
      <c r="R199" s="252"/>
      <c r="S199" s="252"/>
      <c r="T199" s="253"/>
      <c r="AT199" s="255" t="s">
        <v>214</v>
      </c>
      <c r="AU199" s="255" t="s">
        <v>75</v>
      </c>
      <c r="AV199" s="254" t="s">
        <v>106</v>
      </c>
      <c r="AW199" s="254" t="s">
        <v>25</v>
      </c>
      <c r="AX199" s="254" t="s">
        <v>73</v>
      </c>
      <c r="AY199" s="255" t="s">
        <v>104</v>
      </c>
      <c r="BK199" s="181">
        <f t="shared" si="36"/>
        <v>0</v>
      </c>
    </row>
    <row r="200" spans="2:65" s="166" customFormat="1" ht="12">
      <c r="B200" s="167"/>
      <c r="C200" s="168">
        <f>C198+1</f>
        <v>40</v>
      </c>
      <c r="D200" s="168" t="s">
        <v>105</v>
      </c>
      <c r="E200" s="169" t="s">
        <v>215</v>
      </c>
      <c r="F200" s="170" t="s">
        <v>216</v>
      </c>
      <c r="G200" s="171" t="s">
        <v>112</v>
      </c>
      <c r="H200" s="288">
        <v>5</v>
      </c>
      <c r="I200" s="172">
        <v>0</v>
      </c>
      <c r="J200" s="172">
        <f>ROUND(I200*H200,2)</f>
        <v>0</v>
      </c>
      <c r="K200" s="173"/>
      <c r="L200" s="174"/>
      <c r="M200" s="175" t="s">
        <v>1</v>
      </c>
      <c r="N200" s="176" t="s">
        <v>33</v>
      </c>
      <c r="O200" s="177">
        <v>0.43</v>
      </c>
      <c r="P200" s="177">
        <f>O200*H200</f>
        <v>2.15</v>
      </c>
      <c r="Q200" s="177">
        <v>0.00084</v>
      </c>
      <c r="R200" s="177">
        <f>Q200*H200</f>
        <v>0.004200000000000001</v>
      </c>
      <c r="S200" s="177">
        <v>0</v>
      </c>
      <c r="T200" s="178">
        <f>S200*H200</f>
        <v>0</v>
      </c>
      <c r="AR200" s="179" t="s">
        <v>114</v>
      </c>
      <c r="AT200" s="179" t="s">
        <v>105</v>
      </c>
      <c r="AU200" s="179" t="s">
        <v>75</v>
      </c>
      <c r="AY200" s="180" t="s">
        <v>104</v>
      </c>
      <c r="BE200" s="181">
        <f>IF(N200="základní",J200,0)</f>
        <v>0</v>
      </c>
      <c r="BF200" s="181">
        <f>IF(N200="snížená",J200,0)</f>
        <v>0</v>
      </c>
      <c r="BG200" s="181">
        <f>IF(N200="zákl. přenesená",J200,0)</f>
        <v>0</v>
      </c>
      <c r="BH200" s="181">
        <f>IF(N200="sníž. přenesená",J200,0)</f>
        <v>0</v>
      </c>
      <c r="BI200" s="181">
        <f>IF(N200="nulová",J200,0)</f>
        <v>0</v>
      </c>
      <c r="BJ200" s="180" t="s">
        <v>73</v>
      </c>
      <c r="BK200" s="181">
        <f t="shared" si="36"/>
        <v>0</v>
      </c>
      <c r="BL200" s="180" t="s">
        <v>114</v>
      </c>
      <c r="BM200" s="179" t="s">
        <v>217</v>
      </c>
    </row>
    <row r="201" spans="2:63" s="166" customFormat="1" ht="12">
      <c r="B201" s="167"/>
      <c r="C201" s="182"/>
      <c r="D201" s="183" t="s">
        <v>107</v>
      </c>
      <c r="E201" s="182"/>
      <c r="F201" s="184" t="s">
        <v>218</v>
      </c>
      <c r="G201" s="182"/>
      <c r="H201" s="289"/>
      <c r="I201" s="182"/>
      <c r="J201" s="182"/>
      <c r="K201" s="182"/>
      <c r="L201" s="174"/>
      <c r="M201" s="185"/>
      <c r="N201" s="186"/>
      <c r="O201" s="186"/>
      <c r="P201" s="186"/>
      <c r="Q201" s="186"/>
      <c r="R201" s="186"/>
      <c r="S201" s="186"/>
      <c r="T201" s="187"/>
      <c r="AT201" s="180" t="s">
        <v>107</v>
      </c>
      <c r="AU201" s="180" t="s">
        <v>75</v>
      </c>
      <c r="BK201" s="181">
        <f t="shared" si="36"/>
        <v>0</v>
      </c>
    </row>
    <row r="202" spans="2:65" s="166" customFormat="1" ht="12">
      <c r="B202" s="167"/>
      <c r="C202" s="168">
        <f>C200+1</f>
        <v>41</v>
      </c>
      <c r="D202" s="168" t="s">
        <v>105</v>
      </c>
      <c r="E202" s="169" t="s">
        <v>219</v>
      </c>
      <c r="F202" s="170" t="s">
        <v>220</v>
      </c>
      <c r="G202" s="171" t="s">
        <v>112</v>
      </c>
      <c r="H202" s="288">
        <v>12</v>
      </c>
      <c r="I202" s="172">
        <v>0</v>
      </c>
      <c r="J202" s="172">
        <f>ROUND(I202*H202,2)</f>
        <v>0</v>
      </c>
      <c r="K202" s="173"/>
      <c r="L202" s="174"/>
      <c r="M202" s="175" t="s">
        <v>1</v>
      </c>
      <c r="N202" s="176" t="s">
        <v>33</v>
      </c>
      <c r="O202" s="177">
        <v>0.444</v>
      </c>
      <c r="P202" s="177">
        <f>O202*H202</f>
        <v>5.328</v>
      </c>
      <c r="Q202" s="177">
        <v>0.00224</v>
      </c>
      <c r="R202" s="177">
        <f>Q202*H202</f>
        <v>0.026879999999999998</v>
      </c>
      <c r="S202" s="177">
        <v>0</v>
      </c>
      <c r="T202" s="178">
        <f>S202*H202</f>
        <v>0</v>
      </c>
      <c r="AR202" s="179" t="s">
        <v>114</v>
      </c>
      <c r="AT202" s="179" t="s">
        <v>105</v>
      </c>
      <c r="AU202" s="179" t="s">
        <v>75</v>
      </c>
      <c r="AY202" s="180" t="s">
        <v>104</v>
      </c>
      <c r="BE202" s="181">
        <f>IF(N202="základní",J202,0)</f>
        <v>0</v>
      </c>
      <c r="BF202" s="181">
        <f>IF(N202="snížená",J202,0)</f>
        <v>0</v>
      </c>
      <c r="BG202" s="181">
        <f>IF(N202="zákl. přenesená",J202,0)</f>
        <v>0</v>
      </c>
      <c r="BH202" s="181">
        <f>IF(N202="sníž. přenesená",J202,0)</f>
        <v>0</v>
      </c>
      <c r="BI202" s="181">
        <f>IF(N202="nulová",J202,0)</f>
        <v>0</v>
      </c>
      <c r="BJ202" s="180" t="s">
        <v>73</v>
      </c>
      <c r="BK202" s="181">
        <f t="shared" si="36"/>
        <v>0</v>
      </c>
      <c r="BL202" s="180" t="s">
        <v>114</v>
      </c>
      <c r="BM202" s="179" t="s">
        <v>221</v>
      </c>
    </row>
    <row r="203" spans="2:63" s="166" customFormat="1" ht="12">
      <c r="B203" s="167"/>
      <c r="C203" s="182"/>
      <c r="D203" s="183" t="s">
        <v>107</v>
      </c>
      <c r="E203" s="182"/>
      <c r="F203" s="184" t="s">
        <v>222</v>
      </c>
      <c r="G203" s="182"/>
      <c r="H203" s="289"/>
      <c r="I203" s="182"/>
      <c r="J203" s="182"/>
      <c r="K203" s="182"/>
      <c r="L203" s="174"/>
      <c r="M203" s="185"/>
      <c r="N203" s="186"/>
      <c r="O203" s="186"/>
      <c r="P203" s="186"/>
      <c r="Q203" s="186"/>
      <c r="R203" s="186"/>
      <c r="S203" s="186"/>
      <c r="T203" s="187"/>
      <c r="AT203" s="180" t="s">
        <v>107</v>
      </c>
      <c r="AU203" s="180" t="s">
        <v>75</v>
      </c>
      <c r="BK203" s="181">
        <f t="shared" si="36"/>
        <v>0</v>
      </c>
    </row>
    <row r="204" spans="2:65" s="265" customFormat="1" ht="12">
      <c r="B204" s="256"/>
      <c r="C204" s="257">
        <f>C202+1</f>
        <v>42</v>
      </c>
      <c r="D204" s="257"/>
      <c r="E204" s="169" t="s">
        <v>711</v>
      </c>
      <c r="F204" s="170" t="s">
        <v>709</v>
      </c>
      <c r="G204" s="171" t="s">
        <v>111</v>
      </c>
      <c r="H204" s="288">
        <f>15-3</f>
        <v>12</v>
      </c>
      <c r="I204" s="172">
        <v>0</v>
      </c>
      <c r="J204" s="258">
        <f aca="true" t="shared" si="37" ref="J204:J212">ROUND(I204*H204,2)</f>
        <v>0</v>
      </c>
      <c r="K204" s="259"/>
      <c r="L204" s="260"/>
      <c r="M204" s="261" t="s">
        <v>1</v>
      </c>
      <c r="N204" s="262" t="s">
        <v>33</v>
      </c>
      <c r="O204" s="263">
        <v>0.574</v>
      </c>
      <c r="P204" s="263">
        <f aca="true" t="shared" si="38" ref="P204:P212">O204*H204</f>
        <v>6.888</v>
      </c>
      <c r="Q204" s="263">
        <v>0.0035</v>
      </c>
      <c r="R204" s="263">
        <f aca="true" t="shared" si="39" ref="R204:R212">Q204*H204</f>
        <v>0.042</v>
      </c>
      <c r="S204" s="263">
        <v>0</v>
      </c>
      <c r="T204" s="264">
        <f aca="true" t="shared" si="40" ref="T204:T212">S204*H204</f>
        <v>0</v>
      </c>
      <c r="AR204" s="266" t="s">
        <v>114</v>
      </c>
      <c r="AT204" s="266" t="s">
        <v>105</v>
      </c>
      <c r="AU204" s="266" t="s">
        <v>75</v>
      </c>
      <c r="AY204" s="267" t="s">
        <v>104</v>
      </c>
      <c r="BE204" s="268">
        <f aca="true" t="shared" si="41" ref="BE204:BE212">IF(N204="základní",J204,0)</f>
        <v>0</v>
      </c>
      <c r="BF204" s="268">
        <f aca="true" t="shared" si="42" ref="BF204:BF212">IF(N204="snížená",J204,0)</f>
        <v>0</v>
      </c>
      <c r="BG204" s="268">
        <f aca="true" t="shared" si="43" ref="BG204:BG212">IF(N204="zákl. přenesená",J204,0)</f>
        <v>0</v>
      </c>
      <c r="BH204" s="268">
        <f aca="true" t="shared" si="44" ref="BH204:BH212">IF(N204="sníž. přenesená",J204,0)</f>
        <v>0</v>
      </c>
      <c r="BI204" s="268">
        <f aca="true" t="shared" si="45" ref="BI204:BI212">IF(N204="nulová",J204,0)</f>
        <v>0</v>
      </c>
      <c r="BJ204" s="267" t="s">
        <v>73</v>
      </c>
      <c r="BK204" s="181">
        <f t="shared" si="36"/>
        <v>0</v>
      </c>
      <c r="BL204" s="267" t="s">
        <v>114</v>
      </c>
      <c r="BM204" s="266" t="s">
        <v>223</v>
      </c>
    </row>
    <row r="205" spans="2:65" s="265" customFormat="1" ht="12">
      <c r="B205" s="256"/>
      <c r="C205" s="257">
        <f aca="true" t="shared" si="46" ref="C205:C212">C204+1</f>
        <v>43</v>
      </c>
      <c r="D205" s="257"/>
      <c r="E205" s="169" t="s">
        <v>712</v>
      </c>
      <c r="F205" s="170" t="s">
        <v>710</v>
      </c>
      <c r="G205" s="171" t="s">
        <v>111</v>
      </c>
      <c r="H205" s="288">
        <v>2</v>
      </c>
      <c r="I205" s="172">
        <v>0</v>
      </c>
      <c r="J205" s="258">
        <f t="shared" si="37"/>
        <v>0</v>
      </c>
      <c r="K205" s="259"/>
      <c r="L205" s="260"/>
      <c r="M205" s="261" t="s">
        <v>1</v>
      </c>
      <c r="N205" s="262" t="s">
        <v>33</v>
      </c>
      <c r="O205" s="263">
        <v>0.425</v>
      </c>
      <c r="P205" s="263">
        <f t="shared" si="38"/>
        <v>0.85</v>
      </c>
      <c r="Q205" s="263">
        <v>0.0044</v>
      </c>
      <c r="R205" s="263">
        <f t="shared" si="39"/>
        <v>0.0088</v>
      </c>
      <c r="S205" s="263">
        <v>0</v>
      </c>
      <c r="T205" s="264">
        <f t="shared" si="40"/>
        <v>0</v>
      </c>
      <c r="AR205" s="266" t="s">
        <v>114</v>
      </c>
      <c r="AT205" s="266" t="s">
        <v>105</v>
      </c>
      <c r="AU205" s="266" t="s">
        <v>75</v>
      </c>
      <c r="AY205" s="267" t="s">
        <v>104</v>
      </c>
      <c r="BE205" s="268">
        <f t="shared" si="41"/>
        <v>0</v>
      </c>
      <c r="BF205" s="268">
        <f t="shared" si="42"/>
        <v>0</v>
      </c>
      <c r="BG205" s="268">
        <f t="shared" si="43"/>
        <v>0</v>
      </c>
      <c r="BH205" s="268">
        <f t="shared" si="44"/>
        <v>0</v>
      </c>
      <c r="BI205" s="268">
        <f t="shared" si="45"/>
        <v>0</v>
      </c>
      <c r="BJ205" s="267" t="s">
        <v>73</v>
      </c>
      <c r="BK205" s="181">
        <f t="shared" si="36"/>
        <v>0</v>
      </c>
      <c r="BL205" s="267" t="s">
        <v>114</v>
      </c>
      <c r="BM205" s="266" t="s">
        <v>224</v>
      </c>
    </row>
    <row r="206" spans="2:65" s="265" customFormat="1" ht="12">
      <c r="B206" s="256"/>
      <c r="C206" s="257">
        <f t="shared" si="46"/>
        <v>44</v>
      </c>
      <c r="D206" s="257"/>
      <c r="E206" s="169" t="s">
        <v>712</v>
      </c>
      <c r="F206" s="170" t="s">
        <v>713</v>
      </c>
      <c r="G206" s="171" t="s">
        <v>111</v>
      </c>
      <c r="H206" s="288">
        <v>2</v>
      </c>
      <c r="I206" s="172">
        <v>0</v>
      </c>
      <c r="J206" s="258">
        <f t="shared" si="37"/>
        <v>0</v>
      </c>
      <c r="K206" s="259"/>
      <c r="L206" s="260"/>
      <c r="M206" s="261" t="s">
        <v>1</v>
      </c>
      <c r="N206" s="262" t="s">
        <v>33</v>
      </c>
      <c r="O206" s="263">
        <v>0.258</v>
      </c>
      <c r="P206" s="263">
        <f t="shared" si="38"/>
        <v>0.516</v>
      </c>
      <c r="Q206" s="263">
        <v>0.00268</v>
      </c>
      <c r="R206" s="263">
        <f t="shared" si="39"/>
        <v>0.00536</v>
      </c>
      <c r="S206" s="263">
        <v>0</v>
      </c>
      <c r="T206" s="264">
        <f t="shared" si="40"/>
        <v>0</v>
      </c>
      <c r="AR206" s="266" t="s">
        <v>106</v>
      </c>
      <c r="AT206" s="266" t="s">
        <v>105</v>
      </c>
      <c r="AU206" s="266" t="s">
        <v>75</v>
      </c>
      <c r="AY206" s="267" t="s">
        <v>104</v>
      </c>
      <c r="BE206" s="268">
        <f t="shared" si="41"/>
        <v>0</v>
      </c>
      <c r="BF206" s="268">
        <f t="shared" si="42"/>
        <v>0</v>
      </c>
      <c r="BG206" s="268">
        <f t="shared" si="43"/>
        <v>0</v>
      </c>
      <c r="BH206" s="268">
        <f t="shared" si="44"/>
        <v>0</v>
      </c>
      <c r="BI206" s="268">
        <f t="shared" si="45"/>
        <v>0</v>
      </c>
      <c r="BJ206" s="267" t="s">
        <v>73</v>
      </c>
      <c r="BK206" s="181">
        <f t="shared" si="36"/>
        <v>0</v>
      </c>
      <c r="BL206" s="267" t="s">
        <v>106</v>
      </c>
      <c r="BM206" s="266" t="s">
        <v>225</v>
      </c>
    </row>
    <row r="207" spans="2:65" s="166" customFormat="1" ht="12">
      <c r="B207" s="167"/>
      <c r="C207" s="257">
        <f t="shared" si="46"/>
        <v>45</v>
      </c>
      <c r="D207" s="168" t="s">
        <v>105</v>
      </c>
      <c r="E207" s="169" t="s">
        <v>694</v>
      </c>
      <c r="F207" s="170" t="s">
        <v>695</v>
      </c>
      <c r="G207" s="171" t="s">
        <v>111</v>
      </c>
      <c r="H207" s="288">
        <v>2</v>
      </c>
      <c r="I207" s="172">
        <v>0</v>
      </c>
      <c r="J207" s="172">
        <f t="shared" si="37"/>
        <v>0</v>
      </c>
      <c r="K207" s="196"/>
      <c r="L207" s="197"/>
      <c r="M207" s="198" t="s">
        <v>1</v>
      </c>
      <c r="N207" s="199" t="s">
        <v>33</v>
      </c>
      <c r="O207" s="200">
        <v>0</v>
      </c>
      <c r="P207" s="200">
        <f t="shared" si="38"/>
        <v>0</v>
      </c>
      <c r="Q207" s="200">
        <v>0.00658</v>
      </c>
      <c r="R207" s="200">
        <f t="shared" si="39"/>
        <v>0.01316</v>
      </c>
      <c r="S207" s="200">
        <v>0</v>
      </c>
      <c r="T207" s="201">
        <f t="shared" si="40"/>
        <v>0</v>
      </c>
      <c r="AR207" s="179" t="s">
        <v>109</v>
      </c>
      <c r="AT207" s="179" t="s">
        <v>110</v>
      </c>
      <c r="AU207" s="179" t="s">
        <v>75</v>
      </c>
      <c r="AY207" s="180" t="s">
        <v>104</v>
      </c>
      <c r="BE207" s="181">
        <f t="shared" si="41"/>
        <v>0</v>
      </c>
      <c r="BF207" s="181">
        <f t="shared" si="42"/>
        <v>0</v>
      </c>
      <c r="BG207" s="181">
        <f t="shared" si="43"/>
        <v>0</v>
      </c>
      <c r="BH207" s="181">
        <f t="shared" si="44"/>
        <v>0</v>
      </c>
      <c r="BI207" s="181">
        <f t="shared" si="45"/>
        <v>0</v>
      </c>
      <c r="BJ207" s="180" t="s">
        <v>73</v>
      </c>
      <c r="BK207" s="181">
        <f t="shared" si="36"/>
        <v>0</v>
      </c>
      <c r="BL207" s="180" t="s">
        <v>106</v>
      </c>
      <c r="BM207" s="179" t="s">
        <v>226</v>
      </c>
    </row>
    <row r="208" spans="2:65" s="166" customFormat="1" ht="12">
      <c r="B208" s="167"/>
      <c r="C208" s="257">
        <f t="shared" si="46"/>
        <v>46</v>
      </c>
      <c r="D208" s="168" t="s">
        <v>105</v>
      </c>
      <c r="E208" s="169" t="s">
        <v>691</v>
      </c>
      <c r="F208" s="170" t="s">
        <v>693</v>
      </c>
      <c r="G208" s="171" t="s">
        <v>111</v>
      </c>
      <c r="H208" s="288">
        <v>2</v>
      </c>
      <c r="I208" s="172">
        <v>0</v>
      </c>
      <c r="J208" s="172">
        <f t="shared" si="37"/>
        <v>0</v>
      </c>
      <c r="K208" s="173"/>
      <c r="L208" s="174"/>
      <c r="M208" s="205" t="s">
        <v>1</v>
      </c>
      <c r="N208" s="206" t="s">
        <v>33</v>
      </c>
      <c r="O208" s="200">
        <v>0.157</v>
      </c>
      <c r="P208" s="200">
        <f t="shared" si="38"/>
        <v>0.314</v>
      </c>
      <c r="Q208" s="200">
        <v>0</v>
      </c>
      <c r="R208" s="200">
        <f t="shared" si="39"/>
        <v>0</v>
      </c>
      <c r="S208" s="200">
        <v>0</v>
      </c>
      <c r="T208" s="201">
        <f t="shared" si="40"/>
        <v>0</v>
      </c>
      <c r="AR208" s="179" t="s">
        <v>114</v>
      </c>
      <c r="AT208" s="179" t="s">
        <v>105</v>
      </c>
      <c r="AU208" s="179" t="s">
        <v>75</v>
      </c>
      <c r="AY208" s="180" t="s">
        <v>104</v>
      </c>
      <c r="BE208" s="181">
        <f t="shared" si="41"/>
        <v>0</v>
      </c>
      <c r="BF208" s="181">
        <f t="shared" si="42"/>
        <v>0</v>
      </c>
      <c r="BG208" s="181">
        <f t="shared" si="43"/>
        <v>0</v>
      </c>
      <c r="BH208" s="181">
        <f t="shared" si="44"/>
        <v>0</v>
      </c>
      <c r="BI208" s="181">
        <f t="shared" si="45"/>
        <v>0</v>
      </c>
      <c r="BJ208" s="180" t="s">
        <v>73</v>
      </c>
      <c r="BK208" s="181">
        <f t="shared" si="36"/>
        <v>0</v>
      </c>
      <c r="BL208" s="180" t="s">
        <v>114</v>
      </c>
      <c r="BM208" s="179" t="s">
        <v>227</v>
      </c>
    </row>
    <row r="209" spans="2:65" s="166" customFormat="1" ht="24">
      <c r="B209" s="167"/>
      <c r="C209" s="257">
        <f t="shared" si="46"/>
        <v>47</v>
      </c>
      <c r="D209" s="168" t="s">
        <v>105</v>
      </c>
      <c r="E209" s="169" t="s">
        <v>694</v>
      </c>
      <c r="F209" s="170" t="s">
        <v>692</v>
      </c>
      <c r="G209" s="171" t="s">
        <v>111</v>
      </c>
      <c r="H209" s="288">
        <v>2</v>
      </c>
      <c r="I209" s="172">
        <v>0</v>
      </c>
      <c r="J209" s="172">
        <f t="shared" si="37"/>
        <v>0</v>
      </c>
      <c r="K209" s="173"/>
      <c r="L209" s="174"/>
      <c r="M209" s="175" t="s">
        <v>1</v>
      </c>
      <c r="N209" s="176" t="s">
        <v>33</v>
      </c>
      <c r="O209" s="177">
        <v>0.696</v>
      </c>
      <c r="P209" s="177">
        <f t="shared" si="38"/>
        <v>1.392</v>
      </c>
      <c r="Q209" s="177">
        <v>0.00119</v>
      </c>
      <c r="R209" s="177">
        <f t="shared" si="39"/>
        <v>0.00238</v>
      </c>
      <c r="S209" s="177">
        <v>0</v>
      </c>
      <c r="T209" s="178">
        <f t="shared" si="40"/>
        <v>0</v>
      </c>
      <c r="AR209" s="179" t="s">
        <v>114</v>
      </c>
      <c r="AT209" s="179" t="s">
        <v>105</v>
      </c>
      <c r="AU209" s="179" t="s">
        <v>75</v>
      </c>
      <c r="AY209" s="180" t="s">
        <v>104</v>
      </c>
      <c r="BE209" s="181">
        <f t="shared" si="41"/>
        <v>0</v>
      </c>
      <c r="BF209" s="181">
        <f t="shared" si="42"/>
        <v>0</v>
      </c>
      <c r="BG209" s="181">
        <f t="shared" si="43"/>
        <v>0</v>
      </c>
      <c r="BH209" s="181">
        <f t="shared" si="44"/>
        <v>0</v>
      </c>
      <c r="BI209" s="181">
        <f t="shared" si="45"/>
        <v>0</v>
      </c>
      <c r="BJ209" s="180" t="s">
        <v>73</v>
      </c>
      <c r="BK209" s="181">
        <f t="shared" si="36"/>
        <v>0</v>
      </c>
      <c r="BL209" s="180" t="s">
        <v>114</v>
      </c>
      <c r="BM209" s="179" t="s">
        <v>228</v>
      </c>
    </row>
    <row r="210" spans="2:65" s="166" customFormat="1" ht="12">
      <c r="B210" s="167"/>
      <c r="C210" s="257">
        <f t="shared" si="46"/>
        <v>48</v>
      </c>
      <c r="D210" s="168" t="s">
        <v>105</v>
      </c>
      <c r="E210" s="169" t="s">
        <v>229</v>
      </c>
      <c r="F210" s="170" t="s">
        <v>230</v>
      </c>
      <c r="G210" s="171" t="s">
        <v>111</v>
      </c>
      <c r="H210" s="288">
        <f>4+4+5+1+2+2+1+2-6</f>
        <v>15</v>
      </c>
      <c r="I210" s="172">
        <v>0</v>
      </c>
      <c r="J210" s="172">
        <f t="shared" si="37"/>
        <v>0</v>
      </c>
      <c r="K210" s="173"/>
      <c r="L210" s="174"/>
      <c r="M210" s="175" t="s">
        <v>1</v>
      </c>
      <c r="N210" s="176" t="s">
        <v>33</v>
      </c>
      <c r="O210" s="177">
        <v>0.174</v>
      </c>
      <c r="P210" s="177">
        <f t="shared" si="38"/>
        <v>2.61</v>
      </c>
      <c r="Q210" s="177">
        <v>0</v>
      </c>
      <c r="R210" s="177">
        <f t="shared" si="39"/>
        <v>0</v>
      </c>
      <c r="S210" s="177">
        <v>0</v>
      </c>
      <c r="T210" s="178">
        <f t="shared" si="40"/>
        <v>0</v>
      </c>
      <c r="AR210" s="179" t="s">
        <v>114</v>
      </c>
      <c r="AT210" s="179" t="s">
        <v>105</v>
      </c>
      <c r="AU210" s="179" t="s">
        <v>75</v>
      </c>
      <c r="AY210" s="180" t="s">
        <v>104</v>
      </c>
      <c r="BE210" s="181">
        <f t="shared" si="41"/>
        <v>0</v>
      </c>
      <c r="BF210" s="181">
        <f t="shared" si="42"/>
        <v>0</v>
      </c>
      <c r="BG210" s="181">
        <f t="shared" si="43"/>
        <v>0</v>
      </c>
      <c r="BH210" s="181">
        <f t="shared" si="44"/>
        <v>0</v>
      </c>
      <c r="BI210" s="181">
        <f t="shared" si="45"/>
        <v>0</v>
      </c>
      <c r="BJ210" s="180" t="s">
        <v>73</v>
      </c>
      <c r="BK210" s="181">
        <f t="shared" si="36"/>
        <v>0</v>
      </c>
      <c r="BL210" s="180" t="s">
        <v>114</v>
      </c>
      <c r="BM210" s="179" t="s">
        <v>231</v>
      </c>
    </row>
    <row r="211" spans="2:65" s="166" customFormat="1" ht="12">
      <c r="B211" s="167"/>
      <c r="C211" s="257">
        <f t="shared" si="46"/>
        <v>49</v>
      </c>
      <c r="D211" s="168" t="s">
        <v>105</v>
      </c>
      <c r="E211" s="169" t="s">
        <v>232</v>
      </c>
      <c r="F211" s="170" t="s">
        <v>233</v>
      </c>
      <c r="G211" s="171" t="s">
        <v>111</v>
      </c>
      <c r="H211" s="288">
        <f>4+5-3</f>
        <v>6</v>
      </c>
      <c r="I211" s="172">
        <v>0</v>
      </c>
      <c r="J211" s="172">
        <f t="shared" si="37"/>
        <v>0</v>
      </c>
      <c r="K211" s="173"/>
      <c r="L211" s="174"/>
      <c r="M211" s="175" t="s">
        <v>1</v>
      </c>
      <c r="N211" s="176" t="s">
        <v>33</v>
      </c>
      <c r="O211" s="177">
        <v>0.259</v>
      </c>
      <c r="P211" s="177">
        <f t="shared" si="38"/>
        <v>1.554</v>
      </c>
      <c r="Q211" s="177">
        <v>0</v>
      </c>
      <c r="R211" s="177">
        <f t="shared" si="39"/>
        <v>0</v>
      </c>
      <c r="S211" s="177">
        <v>0</v>
      </c>
      <c r="T211" s="178">
        <f t="shared" si="40"/>
        <v>0</v>
      </c>
      <c r="AR211" s="179" t="s">
        <v>114</v>
      </c>
      <c r="AT211" s="179" t="s">
        <v>105</v>
      </c>
      <c r="AU211" s="179" t="s">
        <v>75</v>
      </c>
      <c r="AY211" s="180" t="s">
        <v>104</v>
      </c>
      <c r="BE211" s="181">
        <f t="shared" si="41"/>
        <v>0</v>
      </c>
      <c r="BF211" s="181">
        <f t="shared" si="42"/>
        <v>0</v>
      </c>
      <c r="BG211" s="181">
        <f t="shared" si="43"/>
        <v>0</v>
      </c>
      <c r="BH211" s="181">
        <f t="shared" si="44"/>
        <v>0</v>
      </c>
      <c r="BI211" s="181">
        <f t="shared" si="45"/>
        <v>0</v>
      </c>
      <c r="BJ211" s="180" t="s">
        <v>73</v>
      </c>
      <c r="BK211" s="181">
        <f t="shared" si="36"/>
        <v>0</v>
      </c>
      <c r="BL211" s="180" t="s">
        <v>114</v>
      </c>
      <c r="BM211" s="179" t="s">
        <v>234</v>
      </c>
    </row>
    <row r="212" spans="2:65" s="166" customFormat="1" ht="12">
      <c r="B212" s="167"/>
      <c r="C212" s="257">
        <f t="shared" si="46"/>
        <v>50</v>
      </c>
      <c r="D212" s="168" t="s">
        <v>105</v>
      </c>
      <c r="E212" s="169" t="s">
        <v>235</v>
      </c>
      <c r="F212" s="170" t="s">
        <v>236</v>
      </c>
      <c r="G212" s="171" t="s">
        <v>111</v>
      </c>
      <c r="H212" s="288">
        <v>8</v>
      </c>
      <c r="I212" s="172">
        <v>0</v>
      </c>
      <c r="J212" s="172">
        <f t="shared" si="37"/>
        <v>0</v>
      </c>
      <c r="K212" s="173"/>
      <c r="L212" s="174"/>
      <c r="M212" s="175" t="s">
        <v>1</v>
      </c>
      <c r="N212" s="176" t="s">
        <v>33</v>
      </c>
      <c r="O212" s="177">
        <v>0.225</v>
      </c>
      <c r="P212" s="177">
        <f t="shared" si="38"/>
        <v>1.8</v>
      </c>
      <c r="Q212" s="177">
        <v>0.00057</v>
      </c>
      <c r="R212" s="177">
        <f t="shared" si="39"/>
        <v>0.00456</v>
      </c>
      <c r="S212" s="177">
        <v>0</v>
      </c>
      <c r="T212" s="178">
        <f t="shared" si="40"/>
        <v>0</v>
      </c>
      <c r="AR212" s="179" t="s">
        <v>114</v>
      </c>
      <c r="AT212" s="179" t="s">
        <v>105</v>
      </c>
      <c r="AU212" s="179" t="s">
        <v>75</v>
      </c>
      <c r="AY212" s="180" t="s">
        <v>104</v>
      </c>
      <c r="BE212" s="181">
        <f t="shared" si="41"/>
        <v>0</v>
      </c>
      <c r="BF212" s="181">
        <f t="shared" si="42"/>
        <v>0</v>
      </c>
      <c r="BG212" s="181">
        <f t="shared" si="43"/>
        <v>0</v>
      </c>
      <c r="BH212" s="181">
        <f t="shared" si="44"/>
        <v>0</v>
      </c>
      <c r="BI212" s="181">
        <f t="shared" si="45"/>
        <v>0</v>
      </c>
      <c r="BJ212" s="180" t="s">
        <v>73</v>
      </c>
      <c r="BK212" s="181">
        <f t="shared" si="36"/>
        <v>0</v>
      </c>
      <c r="BL212" s="180" t="s">
        <v>114</v>
      </c>
      <c r="BM212" s="179" t="s">
        <v>237</v>
      </c>
    </row>
    <row r="213" spans="2:63" s="166" customFormat="1" ht="12">
      <c r="B213" s="167"/>
      <c r="C213" s="182"/>
      <c r="D213" s="183" t="s">
        <v>107</v>
      </c>
      <c r="E213" s="182"/>
      <c r="F213" s="184" t="s">
        <v>238</v>
      </c>
      <c r="G213" s="182"/>
      <c r="H213" s="289"/>
      <c r="I213" s="182"/>
      <c r="J213" s="182"/>
      <c r="K213" s="182"/>
      <c r="L213" s="174"/>
      <c r="M213" s="185"/>
      <c r="N213" s="186"/>
      <c r="O213" s="186"/>
      <c r="P213" s="186"/>
      <c r="Q213" s="186"/>
      <c r="R213" s="186"/>
      <c r="S213" s="186"/>
      <c r="T213" s="187"/>
      <c r="AT213" s="180" t="s">
        <v>107</v>
      </c>
      <c r="AU213" s="180" t="s">
        <v>75</v>
      </c>
      <c r="BK213" s="181">
        <f t="shared" si="36"/>
        <v>0</v>
      </c>
    </row>
    <row r="214" spans="2:65" s="166" customFormat="1" ht="36">
      <c r="B214" s="167"/>
      <c r="C214" s="168">
        <f>C212+1</f>
        <v>51</v>
      </c>
      <c r="D214" s="168" t="s">
        <v>110</v>
      </c>
      <c r="E214" s="169" t="s">
        <v>239</v>
      </c>
      <c r="F214" s="278" t="s">
        <v>240</v>
      </c>
      <c r="G214" s="171" t="s">
        <v>111</v>
      </c>
      <c r="H214" s="288">
        <v>3</v>
      </c>
      <c r="I214" s="172">
        <v>0</v>
      </c>
      <c r="J214" s="172">
        <f>ROUND(I214*H214,2)</f>
        <v>0</v>
      </c>
      <c r="K214" s="173"/>
      <c r="L214" s="174"/>
      <c r="M214" s="175" t="s">
        <v>1</v>
      </c>
      <c r="N214" s="176" t="s">
        <v>33</v>
      </c>
      <c r="O214" s="177">
        <v>0</v>
      </c>
      <c r="P214" s="177">
        <f>O214*H214</f>
        <v>0</v>
      </c>
      <c r="Q214" s="177">
        <v>0.0012</v>
      </c>
      <c r="R214" s="177">
        <f>Q214*H214</f>
        <v>0.0036</v>
      </c>
      <c r="S214" s="177">
        <v>0</v>
      </c>
      <c r="T214" s="178">
        <f>S214*H214</f>
        <v>0</v>
      </c>
      <c r="AR214" s="179" t="s">
        <v>115</v>
      </c>
      <c r="AT214" s="179" t="s">
        <v>110</v>
      </c>
      <c r="AU214" s="179" t="s">
        <v>75</v>
      </c>
      <c r="AY214" s="180" t="s">
        <v>104</v>
      </c>
      <c r="BE214" s="181">
        <f>IF(N214="základní",J214,0)</f>
        <v>0</v>
      </c>
      <c r="BF214" s="181">
        <f>IF(N214="snížená",J214,0)</f>
        <v>0</v>
      </c>
      <c r="BG214" s="181">
        <f>IF(N214="zákl. přenesená",J214,0)</f>
        <v>0</v>
      </c>
      <c r="BH214" s="181">
        <f>IF(N214="sníž. přenesená",J214,0)</f>
        <v>0</v>
      </c>
      <c r="BI214" s="181">
        <f>IF(N214="nulová",J214,0)</f>
        <v>0</v>
      </c>
      <c r="BJ214" s="180" t="s">
        <v>73</v>
      </c>
      <c r="BK214" s="181">
        <f t="shared" si="36"/>
        <v>0</v>
      </c>
      <c r="BL214" s="180" t="s">
        <v>114</v>
      </c>
      <c r="BM214" s="179" t="s">
        <v>241</v>
      </c>
    </row>
    <row r="215" spans="2:65" s="265" customFormat="1" ht="60">
      <c r="B215" s="256"/>
      <c r="C215" s="257">
        <f>C214+1</f>
        <v>52</v>
      </c>
      <c r="D215" s="257" t="s">
        <v>110</v>
      </c>
      <c r="E215" s="296" t="s">
        <v>773</v>
      </c>
      <c r="F215" s="297" t="s">
        <v>774</v>
      </c>
      <c r="G215" s="298" t="s">
        <v>111</v>
      </c>
      <c r="H215" s="288">
        <v>5</v>
      </c>
      <c r="I215" s="258">
        <v>0</v>
      </c>
      <c r="J215" s="258">
        <f>ROUND(I215*H215,2)</f>
        <v>0</v>
      </c>
      <c r="K215" s="259"/>
      <c r="L215" s="260"/>
      <c r="M215" s="261" t="s">
        <v>1</v>
      </c>
      <c r="N215" s="262" t="s">
        <v>33</v>
      </c>
      <c r="O215" s="263">
        <v>0</v>
      </c>
      <c r="P215" s="263">
        <f>O215*H215</f>
        <v>0</v>
      </c>
      <c r="Q215" s="263">
        <v>0.0012</v>
      </c>
      <c r="R215" s="263">
        <f>Q215*H215</f>
        <v>0.005999999999999999</v>
      </c>
      <c r="S215" s="263">
        <v>0</v>
      </c>
      <c r="T215" s="264">
        <f>S215*H215</f>
        <v>0</v>
      </c>
      <c r="AR215" s="266" t="s">
        <v>115</v>
      </c>
      <c r="AT215" s="266" t="s">
        <v>110</v>
      </c>
      <c r="AU215" s="266" t="s">
        <v>75</v>
      </c>
      <c r="AY215" s="267" t="s">
        <v>104</v>
      </c>
      <c r="BE215" s="268">
        <f>IF(N215="základní",J215,0)</f>
        <v>0</v>
      </c>
      <c r="BF215" s="268">
        <f>IF(N215="snížená",J215,0)</f>
        <v>0</v>
      </c>
      <c r="BG215" s="268">
        <f>IF(N215="zákl. přenesená",J215,0)</f>
        <v>0</v>
      </c>
      <c r="BH215" s="268">
        <f>IF(N215="sníž. přenesená",J215,0)</f>
        <v>0</v>
      </c>
      <c r="BI215" s="268">
        <f>IF(N215="nulová",J215,0)</f>
        <v>0</v>
      </c>
      <c r="BJ215" s="267" t="s">
        <v>73</v>
      </c>
      <c r="BK215" s="268">
        <f aca="true" t="shared" si="47" ref="BK215:BK216">ROUND(I215*H215,2)</f>
        <v>0</v>
      </c>
      <c r="BL215" s="267" t="s">
        <v>114</v>
      </c>
      <c r="BM215" s="266" t="s">
        <v>241</v>
      </c>
    </row>
    <row r="216" spans="2:65" s="265" customFormat="1" ht="12">
      <c r="B216" s="256"/>
      <c r="C216" s="257">
        <f aca="true" t="shared" si="48" ref="C216:C218">C215+1</f>
        <v>53</v>
      </c>
      <c r="D216" s="257" t="s">
        <v>105</v>
      </c>
      <c r="E216" s="296" t="s">
        <v>778</v>
      </c>
      <c r="F216" s="297" t="s">
        <v>775</v>
      </c>
      <c r="G216" s="298" t="s">
        <v>111</v>
      </c>
      <c r="H216" s="288">
        <v>3</v>
      </c>
      <c r="I216" s="258">
        <v>0</v>
      </c>
      <c r="J216" s="258">
        <f aca="true" t="shared" si="49" ref="J216">ROUND(I216*H216,2)</f>
        <v>0</v>
      </c>
      <c r="K216" s="259"/>
      <c r="L216" s="260"/>
      <c r="M216" s="261" t="s">
        <v>1</v>
      </c>
      <c r="N216" s="262" t="s">
        <v>33</v>
      </c>
      <c r="O216" s="263">
        <v>0.225</v>
      </c>
      <c r="P216" s="263">
        <f aca="true" t="shared" si="50" ref="P216">O216*H216</f>
        <v>0.675</v>
      </c>
      <c r="Q216" s="263">
        <v>0.00057</v>
      </c>
      <c r="R216" s="263">
        <f aca="true" t="shared" si="51" ref="R216">Q216*H216</f>
        <v>0.00171</v>
      </c>
      <c r="S216" s="263">
        <v>0</v>
      </c>
      <c r="T216" s="264">
        <f aca="true" t="shared" si="52" ref="T216">S216*H216</f>
        <v>0</v>
      </c>
      <c r="AR216" s="266" t="s">
        <v>114</v>
      </c>
      <c r="AT216" s="266" t="s">
        <v>105</v>
      </c>
      <c r="AU216" s="266" t="s">
        <v>75</v>
      </c>
      <c r="AY216" s="267" t="s">
        <v>104</v>
      </c>
      <c r="BE216" s="268">
        <f aca="true" t="shared" si="53" ref="BE216">IF(N216="základní",J216,0)</f>
        <v>0</v>
      </c>
      <c r="BF216" s="268">
        <f aca="true" t="shared" si="54" ref="BF216">IF(N216="snížená",J216,0)</f>
        <v>0</v>
      </c>
      <c r="BG216" s="268">
        <f aca="true" t="shared" si="55" ref="BG216">IF(N216="zákl. přenesená",J216,0)</f>
        <v>0</v>
      </c>
      <c r="BH216" s="268">
        <f aca="true" t="shared" si="56" ref="BH216">IF(N216="sníž. přenesená",J216,0)</f>
        <v>0</v>
      </c>
      <c r="BI216" s="268">
        <f aca="true" t="shared" si="57" ref="BI216">IF(N216="nulová",J216,0)</f>
        <v>0</v>
      </c>
      <c r="BJ216" s="267" t="s">
        <v>73</v>
      </c>
      <c r="BK216" s="268">
        <f t="shared" si="47"/>
        <v>0</v>
      </c>
      <c r="BL216" s="267" t="s">
        <v>114</v>
      </c>
      <c r="BM216" s="266" t="s">
        <v>237</v>
      </c>
    </row>
    <row r="217" spans="2:65" s="265" customFormat="1" ht="60">
      <c r="B217" s="256"/>
      <c r="C217" s="257">
        <f t="shared" si="48"/>
        <v>54</v>
      </c>
      <c r="D217" s="257" t="s">
        <v>110</v>
      </c>
      <c r="E217" s="296" t="s">
        <v>776</v>
      </c>
      <c r="F217" s="297" t="s">
        <v>780</v>
      </c>
      <c r="G217" s="298" t="s">
        <v>111</v>
      </c>
      <c r="H217" s="288">
        <v>1</v>
      </c>
      <c r="I217" s="258">
        <v>0</v>
      </c>
      <c r="J217" s="258">
        <f>ROUND(I217*H217,2)</f>
        <v>0</v>
      </c>
      <c r="K217" s="259"/>
      <c r="L217" s="260"/>
      <c r="M217" s="261" t="s">
        <v>1</v>
      </c>
      <c r="N217" s="262" t="s">
        <v>33</v>
      </c>
      <c r="O217" s="263">
        <v>0</v>
      </c>
      <c r="P217" s="263">
        <f>O217*H217</f>
        <v>0</v>
      </c>
      <c r="Q217" s="263">
        <v>0.0012</v>
      </c>
      <c r="R217" s="263">
        <f>Q217*H217</f>
        <v>0.0012</v>
      </c>
      <c r="S217" s="263">
        <v>0</v>
      </c>
      <c r="T217" s="264">
        <f>S217*H217</f>
        <v>0</v>
      </c>
      <c r="AR217" s="266" t="s">
        <v>115</v>
      </c>
      <c r="AT217" s="266" t="s">
        <v>110</v>
      </c>
      <c r="AU217" s="266" t="s">
        <v>75</v>
      </c>
      <c r="AY217" s="267" t="s">
        <v>104</v>
      </c>
      <c r="BE217" s="268">
        <f>IF(N217="základní",J217,0)</f>
        <v>0</v>
      </c>
      <c r="BF217" s="268">
        <f>IF(N217="snížená",J217,0)</f>
        <v>0</v>
      </c>
      <c r="BG217" s="268">
        <f>IF(N217="zákl. přenesená",J217,0)</f>
        <v>0</v>
      </c>
      <c r="BH217" s="268">
        <f>IF(N217="sníž. přenesená",J217,0)</f>
        <v>0</v>
      </c>
      <c r="BI217" s="268">
        <f>IF(N217="nulová",J217,0)</f>
        <v>0</v>
      </c>
      <c r="BJ217" s="267" t="s">
        <v>73</v>
      </c>
      <c r="BK217" s="268">
        <f aca="true" t="shared" si="58" ref="BK217">ROUND(I217*H217,2)</f>
        <v>0</v>
      </c>
      <c r="BL217" s="267" t="s">
        <v>114</v>
      </c>
      <c r="BM217" s="266" t="s">
        <v>241</v>
      </c>
    </row>
    <row r="218" spans="2:65" s="265" customFormat="1" ht="60">
      <c r="B218" s="256"/>
      <c r="C218" s="257">
        <f t="shared" si="48"/>
        <v>55</v>
      </c>
      <c r="D218" s="257" t="s">
        <v>110</v>
      </c>
      <c r="E218" s="296" t="s">
        <v>777</v>
      </c>
      <c r="F218" s="297" t="s">
        <v>779</v>
      </c>
      <c r="G218" s="298" t="s">
        <v>111</v>
      </c>
      <c r="H218" s="288">
        <v>2</v>
      </c>
      <c r="I218" s="258">
        <v>0</v>
      </c>
      <c r="J218" s="258">
        <f>ROUND(I218*H218,2)</f>
        <v>0</v>
      </c>
      <c r="K218" s="259"/>
      <c r="L218" s="260"/>
      <c r="M218" s="261" t="s">
        <v>1</v>
      </c>
      <c r="N218" s="262" t="s">
        <v>33</v>
      </c>
      <c r="O218" s="263">
        <v>0</v>
      </c>
      <c r="P218" s="263">
        <f>O218*H218</f>
        <v>0</v>
      </c>
      <c r="Q218" s="263">
        <v>0.0012</v>
      </c>
      <c r="R218" s="263">
        <f>Q218*H218</f>
        <v>0.0024</v>
      </c>
      <c r="S218" s="263">
        <v>0</v>
      </c>
      <c r="T218" s="264">
        <f>S218*H218</f>
        <v>0</v>
      </c>
      <c r="AR218" s="266" t="s">
        <v>115</v>
      </c>
      <c r="AT218" s="266" t="s">
        <v>110</v>
      </c>
      <c r="AU218" s="266" t="s">
        <v>75</v>
      </c>
      <c r="AY218" s="267" t="s">
        <v>104</v>
      </c>
      <c r="BE218" s="268">
        <f>IF(N218="základní",J218,0)</f>
        <v>0</v>
      </c>
      <c r="BF218" s="268">
        <f>IF(N218="snížená",J218,0)</f>
        <v>0</v>
      </c>
      <c r="BG218" s="268">
        <f>IF(N218="zákl. přenesená",J218,0)</f>
        <v>0</v>
      </c>
      <c r="BH218" s="268">
        <f>IF(N218="sníž. přenesená",J218,0)</f>
        <v>0</v>
      </c>
      <c r="BI218" s="268">
        <f>IF(N218="nulová",J218,0)</f>
        <v>0</v>
      </c>
      <c r="BJ218" s="267" t="s">
        <v>73</v>
      </c>
      <c r="BK218" s="268">
        <f aca="true" t="shared" si="59" ref="BK218">ROUND(I218*H218,2)</f>
        <v>0</v>
      </c>
      <c r="BL218" s="267" t="s">
        <v>114</v>
      </c>
      <c r="BM218" s="266" t="s">
        <v>241</v>
      </c>
    </row>
    <row r="219" spans="2:65" s="265" customFormat="1" ht="24">
      <c r="B219" s="256"/>
      <c r="C219" s="257">
        <f>C218+1</f>
        <v>56</v>
      </c>
      <c r="D219" s="257" t="s">
        <v>105</v>
      </c>
      <c r="E219" s="296" t="s">
        <v>242</v>
      </c>
      <c r="F219" s="297" t="s">
        <v>243</v>
      </c>
      <c r="G219" s="298" t="s">
        <v>111</v>
      </c>
      <c r="H219" s="288">
        <v>2</v>
      </c>
      <c r="I219" s="258">
        <v>0</v>
      </c>
      <c r="J219" s="258">
        <f>ROUND(I219*H219,2)</f>
        <v>0</v>
      </c>
      <c r="K219" s="259"/>
      <c r="L219" s="260"/>
      <c r="M219" s="261" t="s">
        <v>1</v>
      </c>
      <c r="N219" s="262" t="s">
        <v>33</v>
      </c>
      <c r="O219" s="263">
        <v>0.113</v>
      </c>
      <c r="P219" s="263">
        <f>O219*H219</f>
        <v>0.226</v>
      </c>
      <c r="Q219" s="263">
        <v>0.00022</v>
      </c>
      <c r="R219" s="263">
        <f>Q219*H219</f>
        <v>0.00044</v>
      </c>
      <c r="S219" s="263">
        <v>0</v>
      </c>
      <c r="T219" s="264">
        <f>S219*H219</f>
        <v>0</v>
      </c>
      <c r="AR219" s="266" t="s">
        <v>114</v>
      </c>
      <c r="AT219" s="266" t="s">
        <v>105</v>
      </c>
      <c r="AU219" s="266" t="s">
        <v>75</v>
      </c>
      <c r="AY219" s="267" t="s">
        <v>104</v>
      </c>
      <c r="BE219" s="268">
        <f>IF(N219="základní",J219,0)</f>
        <v>0</v>
      </c>
      <c r="BF219" s="268">
        <f>IF(N219="snížená",J219,0)</f>
        <v>0</v>
      </c>
      <c r="BG219" s="268">
        <f>IF(N219="zákl. přenesená",J219,0)</f>
        <v>0</v>
      </c>
      <c r="BH219" s="268">
        <f>IF(N219="sníž. přenesená",J219,0)</f>
        <v>0</v>
      </c>
      <c r="BI219" s="268">
        <f>IF(N219="nulová",J219,0)</f>
        <v>0</v>
      </c>
      <c r="BJ219" s="267" t="s">
        <v>73</v>
      </c>
      <c r="BK219" s="268">
        <f t="shared" si="36"/>
        <v>0</v>
      </c>
      <c r="BL219" s="267" t="s">
        <v>114</v>
      </c>
      <c r="BM219" s="266" t="s">
        <v>244</v>
      </c>
    </row>
    <row r="220" spans="2:63" s="166" customFormat="1" ht="19.5">
      <c r="B220" s="167"/>
      <c r="C220" s="182"/>
      <c r="D220" s="183" t="s">
        <v>107</v>
      </c>
      <c r="E220" s="182"/>
      <c r="F220" s="184" t="s">
        <v>245</v>
      </c>
      <c r="G220" s="182"/>
      <c r="H220" s="289"/>
      <c r="I220" s="182"/>
      <c r="J220" s="182"/>
      <c r="K220" s="182"/>
      <c r="L220" s="174"/>
      <c r="M220" s="185"/>
      <c r="N220" s="186"/>
      <c r="O220" s="186"/>
      <c r="P220" s="186"/>
      <c r="Q220" s="186"/>
      <c r="R220" s="186"/>
      <c r="S220" s="186"/>
      <c r="T220" s="187"/>
      <c r="AT220" s="180" t="s">
        <v>107</v>
      </c>
      <c r="AU220" s="180" t="s">
        <v>75</v>
      </c>
      <c r="BK220" s="181">
        <f t="shared" si="36"/>
        <v>0</v>
      </c>
    </row>
    <row r="221" spans="2:65" s="166" customFormat="1" ht="24">
      <c r="B221" s="167"/>
      <c r="C221" s="168">
        <f>C219+1</f>
        <v>57</v>
      </c>
      <c r="D221" s="168" t="s">
        <v>105</v>
      </c>
      <c r="E221" s="169" t="s">
        <v>246</v>
      </c>
      <c r="F221" s="170" t="s">
        <v>247</v>
      </c>
      <c r="G221" s="171" t="s">
        <v>111</v>
      </c>
      <c r="H221" s="288">
        <v>1</v>
      </c>
      <c r="I221" s="172">
        <v>0</v>
      </c>
      <c r="J221" s="172">
        <f aca="true" t="shared" si="60" ref="J221:J222">ROUND(I221*H221,2)</f>
        <v>0</v>
      </c>
      <c r="K221" s="173"/>
      <c r="L221" s="174"/>
      <c r="M221" s="175" t="s">
        <v>1</v>
      </c>
      <c r="N221" s="176" t="s">
        <v>33</v>
      </c>
      <c r="O221" s="177">
        <v>0.339</v>
      </c>
      <c r="P221" s="177">
        <f aca="true" t="shared" si="61" ref="P221:P226">O221*H221</f>
        <v>0.339</v>
      </c>
      <c r="Q221" s="177">
        <v>0.00128</v>
      </c>
      <c r="R221" s="177">
        <f aca="true" t="shared" si="62" ref="R221:R226">Q221*H221</f>
        <v>0.00128</v>
      </c>
      <c r="S221" s="177">
        <v>0</v>
      </c>
      <c r="T221" s="178">
        <f aca="true" t="shared" si="63" ref="T221:T226">S221*H221</f>
        <v>0</v>
      </c>
      <c r="AR221" s="179" t="s">
        <v>114</v>
      </c>
      <c r="AT221" s="179" t="s">
        <v>105</v>
      </c>
      <c r="AU221" s="179" t="s">
        <v>75</v>
      </c>
      <c r="AY221" s="180" t="s">
        <v>104</v>
      </c>
      <c r="BE221" s="181">
        <f aca="true" t="shared" si="64" ref="BE221:BE226">IF(N221="základní",J221,0)</f>
        <v>0</v>
      </c>
      <c r="BF221" s="181">
        <f aca="true" t="shared" si="65" ref="BF221:BF226">IF(N221="snížená",J221,0)</f>
        <v>0</v>
      </c>
      <c r="BG221" s="181">
        <f aca="true" t="shared" si="66" ref="BG221:BG226">IF(N221="zákl. přenesená",J221,0)</f>
        <v>0</v>
      </c>
      <c r="BH221" s="181">
        <f aca="true" t="shared" si="67" ref="BH221:BH226">IF(N221="sníž. přenesená",J221,0)</f>
        <v>0</v>
      </c>
      <c r="BI221" s="181">
        <f aca="true" t="shared" si="68" ref="BI221:BI226">IF(N221="nulová",J221,0)</f>
        <v>0</v>
      </c>
      <c r="BJ221" s="180" t="s">
        <v>73</v>
      </c>
      <c r="BK221" s="181">
        <f t="shared" si="36"/>
        <v>0</v>
      </c>
      <c r="BL221" s="180" t="s">
        <v>114</v>
      </c>
      <c r="BM221" s="179" t="s">
        <v>248</v>
      </c>
    </row>
    <row r="222" spans="2:65" s="166" customFormat="1" ht="48">
      <c r="B222" s="167"/>
      <c r="C222" s="168">
        <f>C221+1</f>
        <v>58</v>
      </c>
      <c r="D222" s="168" t="s">
        <v>105</v>
      </c>
      <c r="E222" s="169" t="s">
        <v>249</v>
      </c>
      <c r="F222" s="170" t="s">
        <v>250</v>
      </c>
      <c r="G222" s="171" t="s">
        <v>111</v>
      </c>
      <c r="H222" s="288">
        <v>2</v>
      </c>
      <c r="I222" s="172">
        <v>0</v>
      </c>
      <c r="J222" s="172">
        <f t="shared" si="60"/>
        <v>0</v>
      </c>
      <c r="K222" s="173"/>
      <c r="L222" s="174"/>
      <c r="M222" s="175" t="s">
        <v>1</v>
      </c>
      <c r="N222" s="176" t="s">
        <v>33</v>
      </c>
      <c r="O222" s="177">
        <v>0.339</v>
      </c>
      <c r="P222" s="177">
        <f t="shared" si="61"/>
        <v>0.678</v>
      </c>
      <c r="Q222" s="177">
        <v>0.00128</v>
      </c>
      <c r="R222" s="177">
        <f t="shared" si="62"/>
        <v>0.00256</v>
      </c>
      <c r="S222" s="177">
        <v>0</v>
      </c>
      <c r="T222" s="178">
        <f t="shared" si="63"/>
        <v>0</v>
      </c>
      <c r="AR222" s="179" t="s">
        <v>114</v>
      </c>
      <c r="AT222" s="179" t="s">
        <v>105</v>
      </c>
      <c r="AU222" s="179" t="s">
        <v>75</v>
      </c>
      <c r="AY222" s="180" t="s">
        <v>104</v>
      </c>
      <c r="BE222" s="181">
        <f t="shared" si="64"/>
        <v>0</v>
      </c>
      <c r="BF222" s="181">
        <f t="shared" si="65"/>
        <v>0</v>
      </c>
      <c r="BG222" s="181">
        <f t="shared" si="66"/>
        <v>0</v>
      </c>
      <c r="BH222" s="181">
        <f t="shared" si="67"/>
        <v>0</v>
      </c>
      <c r="BI222" s="181">
        <f t="shared" si="68"/>
        <v>0</v>
      </c>
      <c r="BJ222" s="180" t="s">
        <v>73</v>
      </c>
      <c r="BK222" s="181">
        <f t="shared" si="36"/>
        <v>0</v>
      </c>
      <c r="BL222" s="180" t="s">
        <v>114</v>
      </c>
      <c r="BM222" s="179" t="s">
        <v>251</v>
      </c>
    </row>
    <row r="223" spans="2:65" s="166" customFormat="1" ht="36">
      <c r="B223" s="167"/>
      <c r="C223" s="168">
        <f>C222+1</f>
        <v>59</v>
      </c>
      <c r="D223" s="168" t="s">
        <v>105</v>
      </c>
      <c r="E223" s="169" t="s">
        <v>619</v>
      </c>
      <c r="F223" s="170" t="s">
        <v>620</v>
      </c>
      <c r="G223" s="171" t="s">
        <v>111</v>
      </c>
      <c r="H223" s="288">
        <v>2</v>
      </c>
      <c r="I223" s="172">
        <v>0</v>
      </c>
      <c r="J223" s="172">
        <f aca="true" t="shared" si="69" ref="J223">ROUND(I223*H223,2)</f>
        <v>0</v>
      </c>
      <c r="K223" s="173"/>
      <c r="L223" s="174"/>
      <c r="M223" s="175" t="s">
        <v>1</v>
      </c>
      <c r="N223" s="176" t="s">
        <v>33</v>
      </c>
      <c r="O223" s="177">
        <v>0.339</v>
      </c>
      <c r="P223" s="177">
        <f t="shared" si="61"/>
        <v>0.678</v>
      </c>
      <c r="Q223" s="177">
        <v>0.00128</v>
      </c>
      <c r="R223" s="177">
        <f t="shared" si="62"/>
        <v>0.00256</v>
      </c>
      <c r="S223" s="177">
        <v>0</v>
      </c>
      <c r="T223" s="178">
        <f t="shared" si="63"/>
        <v>0</v>
      </c>
      <c r="AR223" s="179" t="s">
        <v>114</v>
      </c>
      <c r="AT223" s="179" t="s">
        <v>105</v>
      </c>
      <c r="AU223" s="179" t="s">
        <v>75</v>
      </c>
      <c r="AY223" s="180" t="s">
        <v>104</v>
      </c>
      <c r="BE223" s="181">
        <f t="shared" si="64"/>
        <v>0</v>
      </c>
      <c r="BF223" s="181">
        <f t="shared" si="65"/>
        <v>0</v>
      </c>
      <c r="BG223" s="181">
        <f t="shared" si="66"/>
        <v>0</v>
      </c>
      <c r="BH223" s="181">
        <f t="shared" si="67"/>
        <v>0</v>
      </c>
      <c r="BI223" s="181">
        <f t="shared" si="68"/>
        <v>0</v>
      </c>
      <c r="BJ223" s="180" t="s">
        <v>73</v>
      </c>
      <c r="BK223" s="181">
        <f t="shared" si="36"/>
        <v>0</v>
      </c>
      <c r="BL223" s="180" t="s">
        <v>114</v>
      </c>
      <c r="BM223" s="179" t="s">
        <v>252</v>
      </c>
    </row>
    <row r="224" spans="2:65" s="166" customFormat="1" ht="24">
      <c r="B224" s="167"/>
      <c r="C224" s="168">
        <f>C223+1</f>
        <v>60</v>
      </c>
      <c r="D224" s="168" t="s">
        <v>697</v>
      </c>
      <c r="E224" s="169" t="s">
        <v>698</v>
      </c>
      <c r="F224" s="170" t="s">
        <v>699</v>
      </c>
      <c r="G224" s="171" t="s">
        <v>111</v>
      </c>
      <c r="H224" s="288">
        <v>2</v>
      </c>
      <c r="I224" s="172">
        <v>0</v>
      </c>
      <c r="J224" s="172">
        <f aca="true" t="shared" si="70" ref="J224">ROUND(I224*H224,2)</f>
        <v>0</v>
      </c>
      <c r="K224" s="173"/>
      <c r="L224" s="174"/>
      <c r="M224" s="175"/>
      <c r="N224" s="176"/>
      <c r="O224" s="177"/>
      <c r="P224" s="177"/>
      <c r="Q224" s="177"/>
      <c r="R224" s="177"/>
      <c r="S224" s="177"/>
      <c r="T224" s="178"/>
      <c r="AR224" s="179"/>
      <c r="AT224" s="179"/>
      <c r="AU224" s="179"/>
      <c r="AY224" s="180"/>
      <c r="BE224" s="181"/>
      <c r="BF224" s="181"/>
      <c r="BG224" s="181"/>
      <c r="BH224" s="181"/>
      <c r="BI224" s="181"/>
      <c r="BJ224" s="180"/>
      <c r="BK224" s="181">
        <f t="shared" si="36"/>
        <v>0</v>
      </c>
      <c r="BL224" s="180"/>
      <c r="BM224" s="179"/>
    </row>
    <row r="225" spans="2:65" s="166" customFormat="1" ht="24">
      <c r="B225" s="167"/>
      <c r="C225" s="168">
        <f aca="true" t="shared" si="71" ref="C225:C227">C224+1</f>
        <v>61</v>
      </c>
      <c r="D225" s="168" t="s">
        <v>697</v>
      </c>
      <c r="E225" s="169" t="s">
        <v>702</v>
      </c>
      <c r="F225" s="170" t="s">
        <v>700</v>
      </c>
      <c r="G225" s="171" t="s">
        <v>111</v>
      </c>
      <c r="H225" s="288">
        <v>4</v>
      </c>
      <c r="I225" s="172">
        <v>0</v>
      </c>
      <c r="J225" s="172">
        <f aca="true" t="shared" si="72" ref="J225">ROUND(I225*H225,2)</f>
        <v>0</v>
      </c>
      <c r="K225" s="173"/>
      <c r="L225" s="174"/>
      <c r="M225" s="175"/>
      <c r="N225" s="176"/>
      <c r="O225" s="177"/>
      <c r="P225" s="177"/>
      <c r="Q225" s="177"/>
      <c r="R225" s="177"/>
      <c r="S225" s="177"/>
      <c r="T225" s="178"/>
      <c r="AR225" s="179"/>
      <c r="AT225" s="179"/>
      <c r="AU225" s="179"/>
      <c r="AY225" s="180"/>
      <c r="BE225" s="181"/>
      <c r="BF225" s="181"/>
      <c r="BG225" s="181"/>
      <c r="BH225" s="181"/>
      <c r="BI225" s="181"/>
      <c r="BJ225" s="180"/>
      <c r="BK225" s="181">
        <f t="shared" si="36"/>
        <v>0</v>
      </c>
      <c r="BL225" s="180"/>
      <c r="BM225" s="179"/>
    </row>
    <row r="226" spans="2:65" s="166" customFormat="1" ht="12">
      <c r="B226" s="167"/>
      <c r="C226" s="168">
        <f t="shared" si="71"/>
        <v>62</v>
      </c>
      <c r="D226" s="168" t="s">
        <v>697</v>
      </c>
      <c r="E226" s="169" t="s">
        <v>703</v>
      </c>
      <c r="F226" s="170" t="s">
        <v>701</v>
      </c>
      <c r="G226" s="171" t="s">
        <v>111</v>
      </c>
      <c r="H226" s="288">
        <v>4</v>
      </c>
      <c r="I226" s="172">
        <v>0</v>
      </c>
      <c r="J226" s="172">
        <f aca="true" t="shared" si="73" ref="J226">ROUND(I226*H226,2)</f>
        <v>0</v>
      </c>
      <c r="K226" s="173"/>
      <c r="L226" s="174"/>
      <c r="M226" s="175" t="s">
        <v>1</v>
      </c>
      <c r="N226" s="176" t="s">
        <v>33</v>
      </c>
      <c r="O226" s="177">
        <v>0.048</v>
      </c>
      <c r="P226" s="177">
        <f t="shared" si="61"/>
        <v>0.192</v>
      </c>
      <c r="Q226" s="177">
        <v>0</v>
      </c>
      <c r="R226" s="177">
        <f t="shared" si="62"/>
        <v>0</v>
      </c>
      <c r="S226" s="177">
        <v>0</v>
      </c>
      <c r="T226" s="178">
        <f t="shared" si="63"/>
        <v>0</v>
      </c>
      <c r="AR226" s="179" t="s">
        <v>114</v>
      </c>
      <c r="AT226" s="179" t="s">
        <v>105</v>
      </c>
      <c r="AU226" s="179" t="s">
        <v>75</v>
      </c>
      <c r="AY226" s="180" t="s">
        <v>104</v>
      </c>
      <c r="BE226" s="181">
        <f t="shared" si="64"/>
        <v>0</v>
      </c>
      <c r="BF226" s="181">
        <f t="shared" si="65"/>
        <v>0</v>
      </c>
      <c r="BG226" s="181">
        <f t="shared" si="66"/>
        <v>0</v>
      </c>
      <c r="BH226" s="181">
        <f t="shared" si="67"/>
        <v>0</v>
      </c>
      <c r="BI226" s="181">
        <f t="shared" si="68"/>
        <v>0</v>
      </c>
      <c r="BJ226" s="180" t="s">
        <v>73</v>
      </c>
      <c r="BK226" s="181">
        <f t="shared" si="36"/>
        <v>0</v>
      </c>
      <c r="BL226" s="180" t="s">
        <v>114</v>
      </c>
      <c r="BM226" s="179" t="s">
        <v>255</v>
      </c>
    </row>
    <row r="227" spans="2:63" s="166" customFormat="1" ht="24">
      <c r="B227" s="167"/>
      <c r="C227" s="168">
        <f t="shared" si="71"/>
        <v>63</v>
      </c>
      <c r="D227" s="168" t="s">
        <v>105</v>
      </c>
      <c r="E227" s="169" t="s">
        <v>253</v>
      </c>
      <c r="F227" s="278" t="s">
        <v>254</v>
      </c>
      <c r="G227" s="171" t="s">
        <v>112</v>
      </c>
      <c r="H227" s="288">
        <f>H174+H176+H178+H180+H182+H188+H190+H192+H194+H196</f>
        <v>128</v>
      </c>
      <c r="I227" s="172">
        <v>0</v>
      </c>
      <c r="J227" s="172">
        <f aca="true" t="shared" si="74" ref="J227">ROUND(I227*H227,2)</f>
        <v>0</v>
      </c>
      <c r="K227" s="182"/>
      <c r="L227" s="174"/>
      <c r="M227" s="185"/>
      <c r="N227" s="186"/>
      <c r="O227" s="186"/>
      <c r="P227" s="186"/>
      <c r="Q227" s="186"/>
      <c r="R227" s="186"/>
      <c r="S227" s="186"/>
      <c r="T227" s="187"/>
      <c r="AT227" s="180" t="s">
        <v>107</v>
      </c>
      <c r="AU227" s="180" t="s">
        <v>75</v>
      </c>
      <c r="BK227" s="181">
        <f t="shared" si="36"/>
        <v>0</v>
      </c>
    </row>
    <row r="228" spans="2:65" s="166" customFormat="1" ht="12">
      <c r="B228" s="167"/>
      <c r="C228" s="182"/>
      <c r="D228" s="183" t="s">
        <v>107</v>
      </c>
      <c r="E228" s="182"/>
      <c r="F228" s="184" t="s">
        <v>256</v>
      </c>
      <c r="G228" s="182"/>
      <c r="H228" s="289"/>
      <c r="I228" s="182"/>
      <c r="J228" s="182"/>
      <c r="K228" s="173"/>
      <c r="L228" s="174"/>
      <c r="M228" s="175" t="s">
        <v>1</v>
      </c>
      <c r="N228" s="176" t="s">
        <v>33</v>
      </c>
      <c r="O228" s="177">
        <v>1.47</v>
      </c>
      <c r="P228" s="177">
        <f>O228*H228</f>
        <v>0</v>
      </c>
      <c r="Q228" s="177">
        <v>0</v>
      </c>
      <c r="R228" s="177">
        <f>Q228*H228</f>
        <v>0</v>
      </c>
      <c r="S228" s="177">
        <v>0</v>
      </c>
      <c r="T228" s="178">
        <f>S228*H228</f>
        <v>0</v>
      </c>
      <c r="AR228" s="179" t="s">
        <v>114</v>
      </c>
      <c r="AT228" s="179" t="s">
        <v>105</v>
      </c>
      <c r="AU228" s="179" t="s">
        <v>75</v>
      </c>
      <c r="AY228" s="180" t="s">
        <v>104</v>
      </c>
      <c r="BE228" s="181">
        <f>IF(N228="základní",J228,0)</f>
        <v>0</v>
      </c>
      <c r="BF228" s="181">
        <f>IF(N228="snížená",J228,0)</f>
        <v>0</v>
      </c>
      <c r="BG228" s="181">
        <f>IF(N228="zákl. přenesená",J228,0)</f>
        <v>0</v>
      </c>
      <c r="BH228" s="181">
        <f>IF(N228="sníž. přenesená",J228,0)</f>
        <v>0</v>
      </c>
      <c r="BI228" s="181">
        <f>IF(N228="nulová",J228,0)</f>
        <v>0</v>
      </c>
      <c r="BJ228" s="180" t="s">
        <v>73</v>
      </c>
      <c r="BK228" s="181">
        <f t="shared" si="36"/>
        <v>0</v>
      </c>
      <c r="BL228" s="180" t="s">
        <v>114</v>
      </c>
      <c r="BM228" s="179" t="s">
        <v>262</v>
      </c>
    </row>
    <row r="229" spans="2:63" s="166" customFormat="1" ht="24">
      <c r="B229" s="167"/>
      <c r="C229" s="168">
        <f>C227+1</f>
        <v>64</v>
      </c>
      <c r="D229" s="168" t="s">
        <v>105</v>
      </c>
      <c r="E229" s="169" t="s">
        <v>257</v>
      </c>
      <c r="F229" s="170" t="s">
        <v>258</v>
      </c>
      <c r="G229" s="171" t="s">
        <v>112</v>
      </c>
      <c r="H229" s="288">
        <f>H184+H186+H198+H200+H202</f>
        <v>62</v>
      </c>
      <c r="I229" s="172">
        <v>0</v>
      </c>
      <c r="J229" s="172">
        <f>ROUND(I229*H229,2)</f>
        <v>0</v>
      </c>
      <c r="K229" s="182"/>
      <c r="L229" s="174"/>
      <c r="M229" s="185"/>
      <c r="N229" s="186"/>
      <c r="O229" s="186"/>
      <c r="P229" s="186"/>
      <c r="Q229" s="186"/>
      <c r="R229" s="186"/>
      <c r="S229" s="186"/>
      <c r="T229" s="187"/>
      <c r="AT229" s="180" t="s">
        <v>107</v>
      </c>
      <c r="AU229" s="180" t="s">
        <v>75</v>
      </c>
      <c r="BK229" s="181">
        <f t="shared" si="36"/>
        <v>0</v>
      </c>
    </row>
    <row r="230" spans="2:65" s="166" customFormat="1" ht="19.5">
      <c r="B230" s="167"/>
      <c r="C230" s="182"/>
      <c r="D230" s="183" t="s">
        <v>107</v>
      </c>
      <c r="E230" s="182"/>
      <c r="F230" s="184" t="s">
        <v>259</v>
      </c>
      <c r="G230" s="182"/>
      <c r="H230" s="289"/>
      <c r="I230" s="182"/>
      <c r="J230" s="182"/>
      <c r="K230" s="173"/>
      <c r="L230" s="174"/>
      <c r="M230" s="175" t="s">
        <v>1</v>
      </c>
      <c r="N230" s="176" t="s">
        <v>33</v>
      </c>
      <c r="O230" s="177">
        <v>0.339</v>
      </c>
      <c r="P230" s="177">
        <f>O230*H230</f>
        <v>0</v>
      </c>
      <c r="Q230" s="177">
        <v>0.00128</v>
      </c>
      <c r="R230" s="177">
        <f>Q230*H230</f>
        <v>0</v>
      </c>
      <c r="S230" s="177">
        <v>0</v>
      </c>
      <c r="T230" s="178">
        <f>S230*H230</f>
        <v>0</v>
      </c>
      <c r="AR230" s="179" t="s">
        <v>114</v>
      </c>
      <c r="AT230" s="179" t="s">
        <v>105</v>
      </c>
      <c r="AU230" s="179" t="s">
        <v>75</v>
      </c>
      <c r="AY230" s="180" t="s">
        <v>104</v>
      </c>
      <c r="BE230" s="181">
        <f>IF(N230="základní",J230,0)</f>
        <v>0</v>
      </c>
      <c r="BF230" s="181">
        <f>IF(N230="snížená",J230,0)</f>
        <v>0</v>
      </c>
      <c r="BG230" s="181">
        <f>IF(N230="zákl. přenesená",J230,0)</f>
        <v>0</v>
      </c>
      <c r="BH230" s="181">
        <f>IF(N230="sníž. přenesená",J230,0)</f>
        <v>0</v>
      </c>
      <c r="BI230" s="181">
        <f>IF(N230="nulová",J230,0)</f>
        <v>0</v>
      </c>
      <c r="BJ230" s="180" t="s">
        <v>73</v>
      </c>
      <c r="BK230" s="181">
        <f t="shared" si="36"/>
        <v>0</v>
      </c>
      <c r="BL230" s="180" t="s">
        <v>114</v>
      </c>
      <c r="BM230" s="179" t="s">
        <v>264</v>
      </c>
    </row>
    <row r="231" spans="2:65" s="166" customFormat="1" ht="24">
      <c r="B231" s="167"/>
      <c r="C231" s="168">
        <f>C229+1</f>
        <v>65</v>
      </c>
      <c r="D231" s="168" t="s">
        <v>105</v>
      </c>
      <c r="E231" s="169" t="s">
        <v>260</v>
      </c>
      <c r="F231" s="170" t="s">
        <v>261</v>
      </c>
      <c r="G231" s="171" t="s">
        <v>108</v>
      </c>
      <c r="H231" s="288">
        <v>2.456</v>
      </c>
      <c r="I231" s="172">
        <v>0</v>
      </c>
      <c r="J231" s="172">
        <f>ROUND(I231*H231,2)</f>
        <v>0</v>
      </c>
      <c r="K231" s="173"/>
      <c r="L231" s="174"/>
      <c r="M231" s="175" t="s">
        <v>1</v>
      </c>
      <c r="N231" s="176" t="s">
        <v>33</v>
      </c>
      <c r="O231" s="177">
        <v>0.339</v>
      </c>
      <c r="P231" s="177">
        <f>O231*H231</f>
        <v>0.832584</v>
      </c>
      <c r="Q231" s="177">
        <v>0.00128</v>
      </c>
      <c r="R231" s="177">
        <f>Q231*H231</f>
        <v>0.0031436800000000003</v>
      </c>
      <c r="S231" s="177">
        <v>0</v>
      </c>
      <c r="T231" s="178">
        <f>S231*H231</f>
        <v>0</v>
      </c>
      <c r="AR231" s="179" t="s">
        <v>114</v>
      </c>
      <c r="AT231" s="179" t="s">
        <v>105</v>
      </c>
      <c r="AU231" s="179" t="s">
        <v>75</v>
      </c>
      <c r="AY231" s="180" t="s">
        <v>104</v>
      </c>
      <c r="BE231" s="181">
        <f>IF(N231="základní",J231,0)</f>
        <v>0</v>
      </c>
      <c r="BF231" s="181">
        <f>IF(N231="snížená",J231,0)</f>
        <v>0</v>
      </c>
      <c r="BG231" s="181">
        <f>IF(N231="zákl. přenesená",J231,0)</f>
        <v>0</v>
      </c>
      <c r="BH231" s="181">
        <f>IF(N231="sníž. přenesená",J231,0)</f>
        <v>0</v>
      </c>
      <c r="BI231" s="181">
        <f>IF(N231="nulová",J231,0)</f>
        <v>0</v>
      </c>
      <c r="BJ231" s="180" t="s">
        <v>73</v>
      </c>
      <c r="BK231" s="181">
        <f t="shared" si="36"/>
        <v>0</v>
      </c>
      <c r="BL231" s="180" t="s">
        <v>114</v>
      </c>
      <c r="BM231" s="179" t="s">
        <v>265</v>
      </c>
    </row>
    <row r="232" spans="2:65" s="166" customFormat="1" ht="29.25">
      <c r="B232" s="167"/>
      <c r="C232" s="168"/>
      <c r="D232" s="183" t="s">
        <v>107</v>
      </c>
      <c r="E232" s="182"/>
      <c r="F232" s="184" t="s">
        <v>263</v>
      </c>
      <c r="G232" s="182"/>
      <c r="H232" s="289"/>
      <c r="I232" s="182"/>
      <c r="J232" s="182"/>
      <c r="K232" s="173"/>
      <c r="L232" s="174"/>
      <c r="M232" s="175" t="s">
        <v>1</v>
      </c>
      <c r="N232" s="176" t="s">
        <v>33</v>
      </c>
      <c r="O232" s="177">
        <v>0.339</v>
      </c>
      <c r="P232" s="177">
        <f>O232*H232</f>
        <v>0</v>
      </c>
      <c r="Q232" s="177">
        <v>0.00128</v>
      </c>
      <c r="R232" s="177">
        <f>Q232*H232</f>
        <v>0</v>
      </c>
      <c r="S232" s="177">
        <v>0</v>
      </c>
      <c r="T232" s="178">
        <f>S232*H232</f>
        <v>0</v>
      </c>
      <c r="AR232" s="179" t="s">
        <v>114</v>
      </c>
      <c r="AT232" s="179" t="s">
        <v>105</v>
      </c>
      <c r="AU232" s="179" t="s">
        <v>75</v>
      </c>
      <c r="AY232" s="180" t="s">
        <v>104</v>
      </c>
      <c r="BE232" s="181">
        <f>IF(N232="základní",J232,0)</f>
        <v>0</v>
      </c>
      <c r="BF232" s="181">
        <f>IF(N232="snížená",J232,0)</f>
        <v>0</v>
      </c>
      <c r="BG232" s="181">
        <f>IF(N232="zákl. přenesená",J232,0)</f>
        <v>0</v>
      </c>
      <c r="BH232" s="181">
        <f>IF(N232="sníž. přenesená",J232,0)</f>
        <v>0</v>
      </c>
      <c r="BI232" s="181">
        <f>IF(N232="nulová",J232,0)</f>
        <v>0</v>
      </c>
      <c r="BJ232" s="180" t="s">
        <v>73</v>
      </c>
      <c r="BK232" s="181">
        <f t="shared" si="36"/>
        <v>0</v>
      </c>
      <c r="BL232" s="180" t="s">
        <v>114</v>
      </c>
      <c r="BM232" s="179" t="s">
        <v>266</v>
      </c>
    </row>
    <row r="233" spans="2:65" s="166" customFormat="1" ht="12">
      <c r="B233" s="167"/>
      <c r="C233" s="168"/>
      <c r="D233" s="168"/>
      <c r="E233" s="169"/>
      <c r="F233" s="170"/>
      <c r="G233" s="171"/>
      <c r="H233" s="288"/>
      <c r="I233" s="172"/>
      <c r="J233" s="172"/>
      <c r="K233" s="173"/>
      <c r="L233" s="174"/>
      <c r="M233" s="175" t="s">
        <v>1</v>
      </c>
      <c r="N233" s="176" t="s">
        <v>33</v>
      </c>
      <c r="O233" s="177">
        <v>0.339</v>
      </c>
      <c r="P233" s="177">
        <f>O233*H233</f>
        <v>0</v>
      </c>
      <c r="Q233" s="177">
        <v>0.00128</v>
      </c>
      <c r="R233" s="177">
        <f>Q233*H233</f>
        <v>0</v>
      </c>
      <c r="S233" s="177">
        <v>0</v>
      </c>
      <c r="T233" s="178">
        <f>S233*H233</f>
        <v>0</v>
      </c>
      <c r="AR233" s="179" t="s">
        <v>114</v>
      </c>
      <c r="AT233" s="179" t="s">
        <v>105</v>
      </c>
      <c r="AU233" s="179" t="s">
        <v>75</v>
      </c>
      <c r="AY233" s="180" t="s">
        <v>104</v>
      </c>
      <c r="BE233" s="181">
        <f>IF(N233="základní",J233,0)</f>
        <v>0</v>
      </c>
      <c r="BF233" s="181">
        <f>IF(N233="snížená",J233,0)</f>
        <v>0</v>
      </c>
      <c r="BG233" s="181">
        <f>IF(N233="zákl. přenesená",J233,0)</f>
        <v>0</v>
      </c>
      <c r="BH233" s="181">
        <f>IF(N233="sníž. přenesená",J233,0)</f>
        <v>0</v>
      </c>
      <c r="BI233" s="181">
        <f>IF(N233="nulová",J233,0)</f>
        <v>0</v>
      </c>
      <c r="BJ233" s="180" t="s">
        <v>73</v>
      </c>
      <c r="BK233" s="181">
        <f t="shared" si="36"/>
        <v>0</v>
      </c>
      <c r="BL233" s="180" t="s">
        <v>114</v>
      </c>
      <c r="BM233" s="179" t="s">
        <v>267</v>
      </c>
    </row>
    <row r="234" spans="2:63" s="207" customFormat="1" ht="12.75">
      <c r="B234" s="208"/>
      <c r="C234" s="209"/>
      <c r="D234" s="210" t="s">
        <v>67</v>
      </c>
      <c r="E234" s="233" t="s">
        <v>118</v>
      </c>
      <c r="F234" s="233" t="s">
        <v>119</v>
      </c>
      <c r="G234" s="209"/>
      <c r="H234" s="291"/>
      <c r="I234" s="209"/>
      <c r="J234" s="234">
        <f>BK234</f>
        <v>0</v>
      </c>
      <c r="K234" s="209"/>
      <c r="L234" s="212"/>
      <c r="M234" s="213"/>
      <c r="N234" s="214"/>
      <c r="O234" s="214"/>
      <c r="P234" s="215">
        <f>SUM(P235:P336)</f>
        <v>429.0726319999998</v>
      </c>
      <c r="Q234" s="214"/>
      <c r="R234" s="215">
        <f>SUM(R235:R336)</f>
        <v>2.6649899999999986</v>
      </c>
      <c r="S234" s="214"/>
      <c r="T234" s="216">
        <f>SUM(T235:T336)</f>
        <v>0</v>
      </c>
      <c r="V234" s="294"/>
      <c r="AR234" s="217" t="s">
        <v>75</v>
      </c>
      <c r="AT234" s="218" t="s">
        <v>67</v>
      </c>
      <c r="AU234" s="218" t="s">
        <v>73</v>
      </c>
      <c r="AY234" s="217" t="s">
        <v>104</v>
      </c>
      <c r="BK234" s="181">
        <f>SUM(BK235:BK336)</f>
        <v>0</v>
      </c>
    </row>
    <row r="235" spans="2:65" s="166" customFormat="1" ht="24">
      <c r="B235" s="167"/>
      <c r="C235" s="168">
        <f>C231+1</f>
        <v>66</v>
      </c>
      <c r="D235" s="168" t="s">
        <v>105</v>
      </c>
      <c r="E235" s="169" t="s">
        <v>621</v>
      </c>
      <c r="F235" s="170" t="s">
        <v>622</v>
      </c>
      <c r="G235" s="171" t="s">
        <v>112</v>
      </c>
      <c r="H235" s="288">
        <v>28</v>
      </c>
      <c r="I235" s="172">
        <v>0</v>
      </c>
      <c r="J235" s="172">
        <f>ROUND(I235*H235,2)</f>
        <v>0</v>
      </c>
      <c r="K235" s="173"/>
      <c r="L235" s="174"/>
      <c r="M235" s="175" t="s">
        <v>1</v>
      </c>
      <c r="N235" s="176" t="s">
        <v>33</v>
      </c>
      <c r="O235" s="177">
        <v>0.572</v>
      </c>
      <c r="P235" s="177">
        <f>O235*H235</f>
        <v>16.016</v>
      </c>
      <c r="Q235" s="177">
        <v>0.00451</v>
      </c>
      <c r="R235" s="177">
        <f>Q235*H235</f>
        <v>0.12628</v>
      </c>
      <c r="S235" s="177">
        <v>0</v>
      </c>
      <c r="T235" s="178">
        <f>S235*H235</f>
        <v>0</v>
      </c>
      <c r="AR235" s="179" t="s">
        <v>114</v>
      </c>
      <c r="AT235" s="179" t="s">
        <v>105</v>
      </c>
      <c r="AU235" s="179" t="s">
        <v>75</v>
      </c>
      <c r="AY235" s="180" t="s">
        <v>104</v>
      </c>
      <c r="BE235" s="181">
        <f>IF(N235="základní",J235,0)</f>
        <v>0</v>
      </c>
      <c r="BF235" s="181">
        <f>IF(N235="snížená",J235,0)</f>
        <v>0</v>
      </c>
      <c r="BG235" s="181">
        <f>IF(N235="zákl. přenesená",J235,0)</f>
        <v>0</v>
      </c>
      <c r="BH235" s="181">
        <f>IF(N235="sníž. přenesená",J235,0)</f>
        <v>0</v>
      </c>
      <c r="BI235" s="181">
        <f>IF(N235="nulová",J235,0)</f>
        <v>0</v>
      </c>
      <c r="BJ235" s="180" t="s">
        <v>73</v>
      </c>
      <c r="BK235" s="181">
        <f>ROUND(I235*H235,2)</f>
        <v>0</v>
      </c>
      <c r="BL235" s="180" t="s">
        <v>114</v>
      </c>
      <c r="BM235" s="179" t="s">
        <v>268</v>
      </c>
    </row>
    <row r="236" spans="2:63" s="166" customFormat="1" ht="19.5">
      <c r="B236" s="167"/>
      <c r="C236" s="182"/>
      <c r="D236" s="183" t="s">
        <v>107</v>
      </c>
      <c r="E236" s="182"/>
      <c r="F236" s="184" t="s">
        <v>623</v>
      </c>
      <c r="G236" s="182"/>
      <c r="H236" s="289"/>
      <c r="I236" s="182"/>
      <c r="J236" s="182"/>
      <c r="K236" s="182"/>
      <c r="L236" s="174"/>
      <c r="M236" s="185"/>
      <c r="N236" s="186"/>
      <c r="O236" s="186"/>
      <c r="P236" s="186"/>
      <c r="Q236" s="186"/>
      <c r="R236" s="186"/>
      <c r="S236" s="186"/>
      <c r="T236" s="187"/>
      <c r="AT236" s="180" t="s">
        <v>107</v>
      </c>
      <c r="AU236" s="180" t="s">
        <v>75</v>
      </c>
      <c r="BK236" s="181">
        <f aca="true" t="shared" si="75" ref="BK236:BK295">ROUND(I236*H236,2)</f>
        <v>0</v>
      </c>
    </row>
    <row r="237" spans="2:65" s="166" customFormat="1" ht="24">
      <c r="B237" s="167"/>
      <c r="C237" s="168">
        <f>C235+1</f>
        <v>67</v>
      </c>
      <c r="D237" s="168" t="s">
        <v>105</v>
      </c>
      <c r="E237" s="169" t="s">
        <v>625</v>
      </c>
      <c r="F237" s="170" t="s">
        <v>641</v>
      </c>
      <c r="G237" s="171" t="s">
        <v>112</v>
      </c>
      <c r="H237" s="288">
        <f>75-5</f>
        <v>70</v>
      </c>
      <c r="I237" s="172">
        <v>0</v>
      </c>
      <c r="J237" s="172">
        <f aca="true" t="shared" si="76" ref="J237:J247">ROUND(I237*H237,2)</f>
        <v>0</v>
      </c>
      <c r="K237" s="173"/>
      <c r="L237" s="174"/>
      <c r="M237" s="175" t="s">
        <v>1</v>
      </c>
      <c r="N237" s="176" t="s">
        <v>33</v>
      </c>
      <c r="O237" s="177">
        <v>0.642</v>
      </c>
      <c r="P237" s="177">
        <f aca="true" t="shared" si="77" ref="P237:P248">O237*H237</f>
        <v>44.94</v>
      </c>
      <c r="Q237" s="177">
        <v>0.00518</v>
      </c>
      <c r="R237" s="177">
        <f aca="true" t="shared" si="78" ref="R237:R248">Q237*H237</f>
        <v>0.3626</v>
      </c>
      <c r="S237" s="177">
        <v>0</v>
      </c>
      <c r="T237" s="178">
        <f aca="true" t="shared" si="79" ref="T237:T248">S237*H237</f>
        <v>0</v>
      </c>
      <c r="AR237" s="179" t="s">
        <v>114</v>
      </c>
      <c r="AT237" s="179" t="s">
        <v>105</v>
      </c>
      <c r="AU237" s="179" t="s">
        <v>75</v>
      </c>
      <c r="AY237" s="180" t="s">
        <v>104</v>
      </c>
      <c r="BE237" s="181">
        <f aca="true" t="shared" si="80" ref="BE237:BE248">IF(N237="základní",J237,0)</f>
        <v>0</v>
      </c>
      <c r="BF237" s="181">
        <f aca="true" t="shared" si="81" ref="BF237:BF248">IF(N237="snížená",J237,0)</f>
        <v>0</v>
      </c>
      <c r="BG237" s="181">
        <f aca="true" t="shared" si="82" ref="BG237:BG248">IF(N237="zákl. přenesená",J237,0)</f>
        <v>0</v>
      </c>
      <c r="BH237" s="181">
        <f aca="true" t="shared" si="83" ref="BH237:BH248">IF(N237="sníž. přenesená",J237,0)</f>
        <v>0</v>
      </c>
      <c r="BI237" s="181">
        <f aca="true" t="shared" si="84" ref="BI237:BI248">IF(N237="nulová",J237,0)</f>
        <v>0</v>
      </c>
      <c r="BJ237" s="180" t="s">
        <v>73</v>
      </c>
      <c r="BK237" s="181">
        <f t="shared" si="75"/>
        <v>0</v>
      </c>
      <c r="BL237" s="180" t="s">
        <v>114</v>
      </c>
      <c r="BM237" s="179" t="s">
        <v>269</v>
      </c>
    </row>
    <row r="238" spans="2:65" s="166" customFormat="1" ht="24">
      <c r="B238" s="167"/>
      <c r="C238" s="168">
        <f>C237+1</f>
        <v>68</v>
      </c>
      <c r="D238" s="168" t="s">
        <v>105</v>
      </c>
      <c r="E238" s="169" t="s">
        <v>624</v>
      </c>
      <c r="F238" s="170" t="s">
        <v>633</v>
      </c>
      <c r="G238" s="171" t="s">
        <v>112</v>
      </c>
      <c r="H238" s="288">
        <f>115-11</f>
        <v>104</v>
      </c>
      <c r="I238" s="172">
        <v>0</v>
      </c>
      <c r="J238" s="172">
        <f t="shared" si="76"/>
        <v>0</v>
      </c>
      <c r="K238" s="173"/>
      <c r="L238" s="174"/>
      <c r="M238" s="175" t="s">
        <v>1</v>
      </c>
      <c r="N238" s="176" t="s">
        <v>33</v>
      </c>
      <c r="O238" s="177">
        <v>0.739</v>
      </c>
      <c r="P238" s="177">
        <f t="shared" si="77"/>
        <v>76.856</v>
      </c>
      <c r="Q238" s="177">
        <v>0.0064</v>
      </c>
      <c r="R238" s="177">
        <f t="shared" si="78"/>
        <v>0.6656000000000001</v>
      </c>
      <c r="S238" s="177">
        <v>0</v>
      </c>
      <c r="T238" s="178">
        <f t="shared" si="79"/>
        <v>0</v>
      </c>
      <c r="AR238" s="179" t="s">
        <v>114</v>
      </c>
      <c r="AT238" s="179" t="s">
        <v>105</v>
      </c>
      <c r="AU238" s="179" t="s">
        <v>75</v>
      </c>
      <c r="AY238" s="180" t="s">
        <v>104</v>
      </c>
      <c r="BE238" s="181">
        <f t="shared" si="80"/>
        <v>0</v>
      </c>
      <c r="BF238" s="181">
        <f t="shared" si="81"/>
        <v>0</v>
      </c>
      <c r="BG238" s="181">
        <f t="shared" si="82"/>
        <v>0</v>
      </c>
      <c r="BH238" s="181">
        <f t="shared" si="83"/>
        <v>0</v>
      </c>
      <c r="BI238" s="181">
        <f t="shared" si="84"/>
        <v>0</v>
      </c>
      <c r="BJ238" s="180" t="s">
        <v>73</v>
      </c>
      <c r="BK238" s="181">
        <f t="shared" si="75"/>
        <v>0</v>
      </c>
      <c r="BL238" s="180" t="s">
        <v>114</v>
      </c>
      <c r="BM238" s="179" t="s">
        <v>270</v>
      </c>
    </row>
    <row r="239" spans="2:65" s="166" customFormat="1" ht="24">
      <c r="B239" s="167"/>
      <c r="C239" s="168">
        <f aca="true" t="shared" si="85" ref="C239:C247">C238+1</f>
        <v>69</v>
      </c>
      <c r="D239" s="168" t="s">
        <v>105</v>
      </c>
      <c r="E239" s="169" t="s">
        <v>626</v>
      </c>
      <c r="F239" s="170" t="s">
        <v>634</v>
      </c>
      <c r="G239" s="171" t="s">
        <v>112</v>
      </c>
      <c r="H239" s="288">
        <f>70-6</f>
        <v>64</v>
      </c>
      <c r="I239" s="172">
        <v>0</v>
      </c>
      <c r="J239" s="172">
        <f t="shared" si="76"/>
        <v>0</v>
      </c>
      <c r="K239" s="173"/>
      <c r="L239" s="174"/>
      <c r="M239" s="175" t="s">
        <v>1</v>
      </c>
      <c r="N239" s="176" t="s">
        <v>33</v>
      </c>
      <c r="O239" s="177">
        <v>0.529</v>
      </c>
      <c r="P239" s="177">
        <f t="shared" si="77"/>
        <v>33.856</v>
      </c>
      <c r="Q239" s="177">
        <v>0.00066</v>
      </c>
      <c r="R239" s="177">
        <f t="shared" si="78"/>
        <v>0.04224</v>
      </c>
      <c r="S239" s="177">
        <v>0</v>
      </c>
      <c r="T239" s="178">
        <f t="shared" si="79"/>
        <v>0</v>
      </c>
      <c r="AR239" s="179" t="s">
        <v>114</v>
      </c>
      <c r="AT239" s="179" t="s">
        <v>105</v>
      </c>
      <c r="AU239" s="179" t="s">
        <v>75</v>
      </c>
      <c r="AY239" s="180" t="s">
        <v>104</v>
      </c>
      <c r="BE239" s="181">
        <f t="shared" si="80"/>
        <v>0</v>
      </c>
      <c r="BF239" s="181">
        <f t="shared" si="81"/>
        <v>0</v>
      </c>
      <c r="BG239" s="181">
        <f t="shared" si="82"/>
        <v>0</v>
      </c>
      <c r="BH239" s="181">
        <f t="shared" si="83"/>
        <v>0</v>
      </c>
      <c r="BI239" s="181">
        <f t="shared" si="84"/>
        <v>0</v>
      </c>
      <c r="BJ239" s="180" t="s">
        <v>73</v>
      </c>
      <c r="BK239" s="181">
        <f t="shared" si="75"/>
        <v>0</v>
      </c>
      <c r="BL239" s="180" t="s">
        <v>114</v>
      </c>
      <c r="BM239" s="179" t="s">
        <v>271</v>
      </c>
    </row>
    <row r="240" spans="2:65" s="166" customFormat="1" ht="24">
      <c r="B240" s="167"/>
      <c r="C240" s="168">
        <f t="shared" si="85"/>
        <v>70</v>
      </c>
      <c r="D240" s="168" t="s">
        <v>105</v>
      </c>
      <c r="E240" s="169" t="s">
        <v>627</v>
      </c>
      <c r="F240" s="170" t="s">
        <v>635</v>
      </c>
      <c r="G240" s="171" t="s">
        <v>112</v>
      </c>
      <c r="H240" s="288">
        <f>40-2</f>
        <v>38</v>
      </c>
      <c r="I240" s="172">
        <v>0</v>
      </c>
      <c r="J240" s="172">
        <f t="shared" si="76"/>
        <v>0</v>
      </c>
      <c r="K240" s="173"/>
      <c r="L240" s="174"/>
      <c r="M240" s="175" t="s">
        <v>1</v>
      </c>
      <c r="N240" s="176" t="s">
        <v>33</v>
      </c>
      <c r="O240" s="177">
        <v>0.616</v>
      </c>
      <c r="P240" s="177">
        <f t="shared" si="77"/>
        <v>23.408</v>
      </c>
      <c r="Q240" s="177">
        <v>0.00091</v>
      </c>
      <c r="R240" s="177">
        <f t="shared" si="78"/>
        <v>0.03458</v>
      </c>
      <c r="S240" s="177">
        <v>0</v>
      </c>
      <c r="T240" s="178">
        <f t="shared" si="79"/>
        <v>0</v>
      </c>
      <c r="AR240" s="179" t="s">
        <v>114</v>
      </c>
      <c r="AT240" s="179" t="s">
        <v>105</v>
      </c>
      <c r="AU240" s="179" t="s">
        <v>75</v>
      </c>
      <c r="AY240" s="180" t="s">
        <v>104</v>
      </c>
      <c r="BE240" s="181">
        <f t="shared" si="80"/>
        <v>0</v>
      </c>
      <c r="BF240" s="181">
        <f t="shared" si="81"/>
        <v>0</v>
      </c>
      <c r="BG240" s="181">
        <f t="shared" si="82"/>
        <v>0</v>
      </c>
      <c r="BH240" s="181">
        <f t="shared" si="83"/>
        <v>0</v>
      </c>
      <c r="BI240" s="181">
        <f t="shared" si="84"/>
        <v>0</v>
      </c>
      <c r="BJ240" s="180" t="s">
        <v>73</v>
      </c>
      <c r="BK240" s="181">
        <f t="shared" si="75"/>
        <v>0</v>
      </c>
      <c r="BL240" s="180" t="s">
        <v>114</v>
      </c>
      <c r="BM240" s="179" t="s">
        <v>272</v>
      </c>
    </row>
    <row r="241" spans="2:65" s="166" customFormat="1" ht="24">
      <c r="B241" s="167"/>
      <c r="C241" s="168">
        <f t="shared" si="85"/>
        <v>71</v>
      </c>
      <c r="D241" s="168" t="s">
        <v>105</v>
      </c>
      <c r="E241" s="169" t="s">
        <v>628</v>
      </c>
      <c r="F241" s="170" t="s">
        <v>636</v>
      </c>
      <c r="G241" s="171" t="s">
        <v>112</v>
      </c>
      <c r="H241" s="288">
        <f>63-9</f>
        <v>54</v>
      </c>
      <c r="I241" s="172">
        <v>0</v>
      </c>
      <c r="J241" s="172">
        <f t="shared" si="76"/>
        <v>0</v>
      </c>
      <c r="K241" s="173"/>
      <c r="L241" s="174"/>
      <c r="M241" s="175" t="s">
        <v>1</v>
      </c>
      <c r="N241" s="176" t="s">
        <v>33</v>
      </c>
      <c r="O241" s="177">
        <v>0.696</v>
      </c>
      <c r="P241" s="177">
        <f t="shared" si="77"/>
        <v>37.583999999999996</v>
      </c>
      <c r="Q241" s="177">
        <v>0.00119</v>
      </c>
      <c r="R241" s="177">
        <f t="shared" si="78"/>
        <v>0.06426000000000001</v>
      </c>
      <c r="S241" s="177">
        <v>0</v>
      </c>
      <c r="T241" s="178">
        <f t="shared" si="79"/>
        <v>0</v>
      </c>
      <c r="AR241" s="179" t="s">
        <v>114</v>
      </c>
      <c r="AT241" s="179" t="s">
        <v>105</v>
      </c>
      <c r="AU241" s="179" t="s">
        <v>75</v>
      </c>
      <c r="AY241" s="180" t="s">
        <v>104</v>
      </c>
      <c r="BE241" s="181">
        <f t="shared" si="80"/>
        <v>0</v>
      </c>
      <c r="BF241" s="181">
        <f t="shared" si="81"/>
        <v>0</v>
      </c>
      <c r="BG241" s="181">
        <f t="shared" si="82"/>
        <v>0</v>
      </c>
      <c r="BH241" s="181">
        <f t="shared" si="83"/>
        <v>0</v>
      </c>
      <c r="BI241" s="181">
        <f t="shared" si="84"/>
        <v>0</v>
      </c>
      <c r="BJ241" s="180" t="s">
        <v>73</v>
      </c>
      <c r="BK241" s="181">
        <f t="shared" si="75"/>
        <v>0</v>
      </c>
      <c r="BL241" s="180" t="s">
        <v>114</v>
      </c>
      <c r="BM241" s="179" t="s">
        <v>273</v>
      </c>
    </row>
    <row r="242" spans="2:65" s="166" customFormat="1" ht="24">
      <c r="B242" s="167"/>
      <c r="C242" s="168">
        <f t="shared" si="85"/>
        <v>72</v>
      </c>
      <c r="D242" s="168" t="s">
        <v>105</v>
      </c>
      <c r="E242" s="169" t="s">
        <v>629</v>
      </c>
      <c r="F242" s="170" t="s">
        <v>637</v>
      </c>
      <c r="G242" s="171" t="s">
        <v>112</v>
      </c>
      <c r="H242" s="288">
        <f>34-20</f>
        <v>14</v>
      </c>
      <c r="I242" s="172">
        <v>0</v>
      </c>
      <c r="J242" s="172">
        <f t="shared" si="76"/>
        <v>0</v>
      </c>
      <c r="K242" s="173"/>
      <c r="L242" s="174"/>
      <c r="M242" s="175" t="s">
        <v>1</v>
      </c>
      <c r="N242" s="176" t="s">
        <v>33</v>
      </c>
      <c r="O242" s="177">
        <v>0.743</v>
      </c>
      <c r="P242" s="177">
        <f t="shared" si="77"/>
        <v>10.402</v>
      </c>
      <c r="Q242" s="177">
        <v>0.00252</v>
      </c>
      <c r="R242" s="177">
        <f t="shared" si="78"/>
        <v>0.03528</v>
      </c>
      <c r="S242" s="177">
        <v>0</v>
      </c>
      <c r="T242" s="178">
        <f t="shared" si="79"/>
        <v>0</v>
      </c>
      <c r="AR242" s="179" t="s">
        <v>114</v>
      </c>
      <c r="AT242" s="179" t="s">
        <v>105</v>
      </c>
      <c r="AU242" s="179" t="s">
        <v>75</v>
      </c>
      <c r="AY242" s="180" t="s">
        <v>104</v>
      </c>
      <c r="BE242" s="181">
        <f t="shared" si="80"/>
        <v>0</v>
      </c>
      <c r="BF242" s="181">
        <f t="shared" si="81"/>
        <v>0</v>
      </c>
      <c r="BG242" s="181">
        <f t="shared" si="82"/>
        <v>0</v>
      </c>
      <c r="BH242" s="181">
        <f t="shared" si="83"/>
        <v>0</v>
      </c>
      <c r="BI242" s="181">
        <f t="shared" si="84"/>
        <v>0</v>
      </c>
      <c r="BJ242" s="180" t="s">
        <v>73</v>
      </c>
      <c r="BK242" s="181">
        <f t="shared" si="75"/>
        <v>0</v>
      </c>
      <c r="BL242" s="180" t="s">
        <v>114</v>
      </c>
      <c r="BM242" s="179" t="s">
        <v>274</v>
      </c>
    </row>
    <row r="243" spans="2:65" s="166" customFormat="1" ht="24">
      <c r="B243" s="167"/>
      <c r="C243" s="168">
        <f t="shared" si="85"/>
        <v>73</v>
      </c>
      <c r="D243" s="168" t="s">
        <v>105</v>
      </c>
      <c r="E243" s="169" t="s">
        <v>630</v>
      </c>
      <c r="F243" s="170" t="s">
        <v>638</v>
      </c>
      <c r="G243" s="171" t="s">
        <v>112</v>
      </c>
      <c r="H243" s="288">
        <v>32</v>
      </c>
      <c r="I243" s="172">
        <v>0</v>
      </c>
      <c r="J243" s="172">
        <f t="shared" si="76"/>
        <v>0</v>
      </c>
      <c r="K243" s="173"/>
      <c r="L243" s="174"/>
      <c r="M243" s="175" t="s">
        <v>1</v>
      </c>
      <c r="N243" s="176" t="s">
        <v>33</v>
      </c>
      <c r="O243" s="177">
        <v>0.789</v>
      </c>
      <c r="P243" s="177">
        <f t="shared" si="77"/>
        <v>25.248</v>
      </c>
      <c r="Q243" s="177">
        <v>0.0035</v>
      </c>
      <c r="R243" s="177">
        <f t="shared" si="78"/>
        <v>0.112</v>
      </c>
      <c r="S243" s="177">
        <v>0</v>
      </c>
      <c r="T243" s="178">
        <f t="shared" si="79"/>
        <v>0</v>
      </c>
      <c r="AR243" s="179" t="s">
        <v>114</v>
      </c>
      <c r="AT243" s="179" t="s">
        <v>105</v>
      </c>
      <c r="AU243" s="179" t="s">
        <v>75</v>
      </c>
      <c r="AY243" s="180" t="s">
        <v>104</v>
      </c>
      <c r="BE243" s="181">
        <f t="shared" si="80"/>
        <v>0</v>
      </c>
      <c r="BF243" s="181">
        <f t="shared" si="81"/>
        <v>0</v>
      </c>
      <c r="BG243" s="181">
        <f t="shared" si="82"/>
        <v>0</v>
      </c>
      <c r="BH243" s="181">
        <f t="shared" si="83"/>
        <v>0</v>
      </c>
      <c r="BI243" s="181">
        <f t="shared" si="84"/>
        <v>0</v>
      </c>
      <c r="BJ243" s="180" t="s">
        <v>73</v>
      </c>
      <c r="BK243" s="181">
        <f t="shared" si="75"/>
        <v>0</v>
      </c>
      <c r="BL243" s="180" t="s">
        <v>114</v>
      </c>
      <c r="BM243" s="179" t="s">
        <v>275</v>
      </c>
    </row>
    <row r="244" spans="2:65" s="166" customFormat="1" ht="24">
      <c r="B244" s="167"/>
      <c r="C244" s="168">
        <f t="shared" si="85"/>
        <v>74</v>
      </c>
      <c r="D244" s="168" t="s">
        <v>105</v>
      </c>
      <c r="E244" s="169" t="s">
        <v>631</v>
      </c>
      <c r="F244" s="170" t="s">
        <v>639</v>
      </c>
      <c r="G244" s="171" t="s">
        <v>112</v>
      </c>
      <c r="H244" s="288">
        <v>11</v>
      </c>
      <c r="I244" s="172">
        <v>0</v>
      </c>
      <c r="J244" s="172">
        <f t="shared" si="76"/>
        <v>0</v>
      </c>
      <c r="K244" s="173"/>
      <c r="L244" s="174"/>
      <c r="M244" s="175" t="s">
        <v>1</v>
      </c>
      <c r="N244" s="176" t="s">
        <v>33</v>
      </c>
      <c r="O244" s="177">
        <v>0.814</v>
      </c>
      <c r="P244" s="177">
        <f t="shared" si="77"/>
        <v>8.953999999999999</v>
      </c>
      <c r="Q244" s="177">
        <v>0.00586</v>
      </c>
      <c r="R244" s="177">
        <f t="shared" si="78"/>
        <v>0.06446</v>
      </c>
      <c r="S244" s="177">
        <v>0</v>
      </c>
      <c r="T244" s="178">
        <f t="shared" si="79"/>
        <v>0</v>
      </c>
      <c r="AR244" s="179" t="s">
        <v>114</v>
      </c>
      <c r="AT244" s="179" t="s">
        <v>105</v>
      </c>
      <c r="AU244" s="179" t="s">
        <v>75</v>
      </c>
      <c r="AY244" s="180" t="s">
        <v>104</v>
      </c>
      <c r="BE244" s="181">
        <f t="shared" si="80"/>
        <v>0</v>
      </c>
      <c r="BF244" s="181">
        <f t="shared" si="81"/>
        <v>0</v>
      </c>
      <c r="BG244" s="181">
        <f t="shared" si="82"/>
        <v>0</v>
      </c>
      <c r="BH244" s="181">
        <f t="shared" si="83"/>
        <v>0</v>
      </c>
      <c r="BI244" s="181">
        <f t="shared" si="84"/>
        <v>0</v>
      </c>
      <c r="BJ244" s="180" t="s">
        <v>73</v>
      </c>
      <c r="BK244" s="181">
        <f t="shared" si="75"/>
        <v>0</v>
      </c>
      <c r="BL244" s="180" t="s">
        <v>114</v>
      </c>
      <c r="BM244" s="179" t="s">
        <v>276</v>
      </c>
    </row>
    <row r="245" spans="2:65" s="166" customFormat="1" ht="24">
      <c r="B245" s="167"/>
      <c r="C245" s="168">
        <f t="shared" si="85"/>
        <v>75</v>
      </c>
      <c r="D245" s="168" t="s">
        <v>105</v>
      </c>
      <c r="E245" s="169" t="s">
        <v>632</v>
      </c>
      <c r="F245" s="170" t="s">
        <v>640</v>
      </c>
      <c r="G245" s="171" t="s">
        <v>112</v>
      </c>
      <c r="H245" s="288">
        <v>10</v>
      </c>
      <c r="I245" s="172">
        <v>0</v>
      </c>
      <c r="J245" s="172">
        <f t="shared" si="76"/>
        <v>0</v>
      </c>
      <c r="K245" s="173"/>
      <c r="L245" s="174"/>
      <c r="M245" s="175" t="s">
        <v>1</v>
      </c>
      <c r="N245" s="176" t="s">
        <v>33</v>
      </c>
      <c r="O245" s="177">
        <v>0.814</v>
      </c>
      <c r="P245" s="177">
        <f t="shared" si="77"/>
        <v>8.139999999999999</v>
      </c>
      <c r="Q245" s="177">
        <v>0.00586</v>
      </c>
      <c r="R245" s="177">
        <f t="shared" si="78"/>
        <v>0.0586</v>
      </c>
      <c r="S245" s="177">
        <v>0</v>
      </c>
      <c r="T245" s="178">
        <f t="shared" si="79"/>
        <v>0</v>
      </c>
      <c r="AR245" s="179" t="s">
        <v>114</v>
      </c>
      <c r="AT245" s="179" t="s">
        <v>105</v>
      </c>
      <c r="AU245" s="179" t="s">
        <v>75</v>
      </c>
      <c r="AY245" s="180" t="s">
        <v>104</v>
      </c>
      <c r="BE245" s="181">
        <f t="shared" si="80"/>
        <v>0</v>
      </c>
      <c r="BF245" s="181">
        <f t="shared" si="81"/>
        <v>0</v>
      </c>
      <c r="BG245" s="181">
        <f t="shared" si="82"/>
        <v>0</v>
      </c>
      <c r="BH245" s="181">
        <f t="shared" si="83"/>
        <v>0</v>
      </c>
      <c r="BI245" s="181">
        <f t="shared" si="84"/>
        <v>0</v>
      </c>
      <c r="BJ245" s="180" t="s">
        <v>73</v>
      </c>
      <c r="BK245" s="181">
        <f t="shared" si="75"/>
        <v>0</v>
      </c>
      <c r="BL245" s="180" t="s">
        <v>114</v>
      </c>
      <c r="BM245" s="179" t="s">
        <v>277</v>
      </c>
    </row>
    <row r="246" spans="2:65" s="166" customFormat="1" ht="12">
      <c r="B246" s="167"/>
      <c r="C246" s="168">
        <f t="shared" si="85"/>
        <v>76</v>
      </c>
      <c r="D246" s="168" t="s">
        <v>105</v>
      </c>
      <c r="E246" s="169" t="s">
        <v>284</v>
      </c>
      <c r="F246" s="170" t="s">
        <v>285</v>
      </c>
      <c r="G246" s="171" t="s">
        <v>111</v>
      </c>
      <c r="H246" s="288">
        <f>H257+H256+H251+H249</f>
        <v>61</v>
      </c>
      <c r="I246" s="172">
        <v>0</v>
      </c>
      <c r="J246" s="172">
        <f t="shared" si="76"/>
        <v>0</v>
      </c>
      <c r="K246" s="173"/>
      <c r="L246" s="174"/>
      <c r="M246" s="175" t="s">
        <v>1</v>
      </c>
      <c r="N246" s="176" t="s">
        <v>33</v>
      </c>
      <c r="O246" s="177">
        <v>0.814</v>
      </c>
      <c r="P246" s="177">
        <f t="shared" si="77"/>
        <v>49.653999999999996</v>
      </c>
      <c r="Q246" s="177">
        <v>0.00586</v>
      </c>
      <c r="R246" s="177">
        <f t="shared" si="78"/>
        <v>0.35746</v>
      </c>
      <c r="S246" s="177">
        <v>0</v>
      </c>
      <c r="T246" s="178">
        <f t="shared" si="79"/>
        <v>0</v>
      </c>
      <c r="AR246" s="179" t="s">
        <v>114</v>
      </c>
      <c r="AT246" s="179" t="s">
        <v>105</v>
      </c>
      <c r="AU246" s="179" t="s">
        <v>75</v>
      </c>
      <c r="AY246" s="180" t="s">
        <v>104</v>
      </c>
      <c r="BE246" s="181">
        <f t="shared" si="80"/>
        <v>0</v>
      </c>
      <c r="BF246" s="181">
        <f t="shared" si="81"/>
        <v>0</v>
      </c>
      <c r="BG246" s="181">
        <f t="shared" si="82"/>
        <v>0</v>
      </c>
      <c r="BH246" s="181">
        <f t="shared" si="83"/>
        <v>0</v>
      </c>
      <c r="BI246" s="181">
        <f t="shared" si="84"/>
        <v>0</v>
      </c>
      <c r="BJ246" s="180" t="s">
        <v>73</v>
      </c>
      <c r="BK246" s="181">
        <f t="shared" si="75"/>
        <v>0</v>
      </c>
      <c r="BL246" s="180" t="s">
        <v>114</v>
      </c>
      <c r="BM246" s="179" t="s">
        <v>278</v>
      </c>
    </row>
    <row r="247" spans="2:65" s="166" customFormat="1" ht="24">
      <c r="B247" s="167"/>
      <c r="C247" s="168">
        <f t="shared" si="85"/>
        <v>77</v>
      </c>
      <c r="D247" s="168" t="s">
        <v>105</v>
      </c>
      <c r="E247" s="169" t="s">
        <v>280</v>
      </c>
      <c r="F247" s="170" t="s">
        <v>281</v>
      </c>
      <c r="G247" s="171" t="s">
        <v>111</v>
      </c>
      <c r="H247" s="288">
        <f>H252+H251+H249</f>
        <v>11</v>
      </c>
      <c r="I247" s="172">
        <v>0</v>
      </c>
      <c r="J247" s="172">
        <f t="shared" si="76"/>
        <v>0</v>
      </c>
      <c r="K247" s="173"/>
      <c r="L247" s="174"/>
      <c r="M247" s="175" t="s">
        <v>1</v>
      </c>
      <c r="N247" s="176" t="s">
        <v>33</v>
      </c>
      <c r="O247" s="177">
        <v>0.814</v>
      </c>
      <c r="P247" s="177">
        <f t="shared" si="77"/>
        <v>8.953999999999999</v>
      </c>
      <c r="Q247" s="177">
        <v>0.00586</v>
      </c>
      <c r="R247" s="177">
        <f t="shared" si="78"/>
        <v>0.06446</v>
      </c>
      <c r="S247" s="177">
        <v>0</v>
      </c>
      <c r="T247" s="178">
        <f t="shared" si="79"/>
        <v>0</v>
      </c>
      <c r="AR247" s="179" t="s">
        <v>114</v>
      </c>
      <c r="AT247" s="179" t="s">
        <v>105</v>
      </c>
      <c r="AU247" s="179" t="s">
        <v>75</v>
      </c>
      <c r="AY247" s="180" t="s">
        <v>104</v>
      </c>
      <c r="BE247" s="181">
        <f t="shared" si="80"/>
        <v>0</v>
      </c>
      <c r="BF247" s="181">
        <f t="shared" si="81"/>
        <v>0</v>
      </c>
      <c r="BG247" s="181">
        <f t="shared" si="82"/>
        <v>0</v>
      </c>
      <c r="BH247" s="181">
        <f t="shared" si="83"/>
        <v>0</v>
      </c>
      <c r="BI247" s="181">
        <f t="shared" si="84"/>
        <v>0</v>
      </c>
      <c r="BJ247" s="180" t="s">
        <v>73</v>
      </c>
      <c r="BK247" s="181">
        <f t="shared" si="75"/>
        <v>0</v>
      </c>
      <c r="BL247" s="180" t="s">
        <v>114</v>
      </c>
      <c r="BM247" s="179" t="s">
        <v>279</v>
      </c>
    </row>
    <row r="248" spans="2:65" s="166" customFormat="1" ht="19.5">
      <c r="B248" s="167"/>
      <c r="C248" s="182"/>
      <c r="D248" s="183" t="s">
        <v>107</v>
      </c>
      <c r="E248" s="182"/>
      <c r="F248" s="184" t="s">
        <v>283</v>
      </c>
      <c r="G248" s="182"/>
      <c r="H248" s="289"/>
      <c r="I248" s="182"/>
      <c r="J248" s="182"/>
      <c r="K248" s="173"/>
      <c r="L248" s="174"/>
      <c r="M248" s="175" t="s">
        <v>1</v>
      </c>
      <c r="N248" s="176" t="s">
        <v>33</v>
      </c>
      <c r="O248" s="177">
        <v>0.145</v>
      </c>
      <c r="P248" s="177">
        <f t="shared" si="77"/>
        <v>0</v>
      </c>
      <c r="Q248" s="177">
        <v>2E-05</v>
      </c>
      <c r="R248" s="177">
        <f t="shared" si="78"/>
        <v>0</v>
      </c>
      <c r="S248" s="177">
        <v>0</v>
      </c>
      <c r="T248" s="178">
        <f t="shared" si="79"/>
        <v>0</v>
      </c>
      <c r="AR248" s="179" t="s">
        <v>114</v>
      </c>
      <c r="AT248" s="179" t="s">
        <v>105</v>
      </c>
      <c r="AU248" s="179" t="s">
        <v>75</v>
      </c>
      <c r="AY248" s="180" t="s">
        <v>104</v>
      </c>
      <c r="BE248" s="181">
        <f t="shared" si="80"/>
        <v>0</v>
      </c>
      <c r="BF248" s="181">
        <f t="shared" si="81"/>
        <v>0</v>
      </c>
      <c r="BG248" s="181">
        <f t="shared" si="82"/>
        <v>0</v>
      </c>
      <c r="BH248" s="181">
        <f t="shared" si="83"/>
        <v>0</v>
      </c>
      <c r="BI248" s="181">
        <f t="shared" si="84"/>
        <v>0</v>
      </c>
      <c r="BJ248" s="180" t="s">
        <v>73</v>
      </c>
      <c r="BK248" s="181">
        <f t="shared" si="75"/>
        <v>0</v>
      </c>
      <c r="BL248" s="180" t="s">
        <v>114</v>
      </c>
      <c r="BM248" s="179" t="s">
        <v>282</v>
      </c>
    </row>
    <row r="249" spans="2:63" s="166" customFormat="1" ht="24">
      <c r="B249" s="167"/>
      <c r="C249" s="168">
        <f>C247+1</f>
        <v>78</v>
      </c>
      <c r="D249" s="188" t="s">
        <v>105</v>
      </c>
      <c r="E249" s="189" t="s">
        <v>646</v>
      </c>
      <c r="F249" s="190" t="s">
        <v>647</v>
      </c>
      <c r="G249" s="191" t="s">
        <v>111</v>
      </c>
      <c r="H249" s="290">
        <f>9-2</f>
        <v>7</v>
      </c>
      <c r="I249" s="192">
        <v>0</v>
      </c>
      <c r="J249" s="192">
        <f>ROUND(I249*H249,2)</f>
        <v>0</v>
      </c>
      <c r="K249" s="182"/>
      <c r="L249" s="174"/>
      <c r="M249" s="185"/>
      <c r="N249" s="186"/>
      <c r="O249" s="186"/>
      <c r="P249" s="186"/>
      <c r="Q249" s="186"/>
      <c r="R249" s="186"/>
      <c r="S249" s="186"/>
      <c r="T249" s="187"/>
      <c r="AT249" s="180" t="s">
        <v>107</v>
      </c>
      <c r="AU249" s="180" t="s">
        <v>75</v>
      </c>
      <c r="BK249" s="181">
        <f t="shared" si="75"/>
        <v>0</v>
      </c>
    </row>
    <row r="250" spans="2:65" s="166" customFormat="1" ht="12">
      <c r="B250" s="167"/>
      <c r="C250" s="168"/>
      <c r="D250" s="193" t="s">
        <v>107</v>
      </c>
      <c r="F250" s="194" t="s">
        <v>648</v>
      </c>
      <c r="H250" s="265"/>
      <c r="K250" s="173"/>
      <c r="L250" s="174"/>
      <c r="M250" s="175" t="s">
        <v>1</v>
      </c>
      <c r="N250" s="176" t="s">
        <v>33</v>
      </c>
      <c r="O250" s="177">
        <v>0.145</v>
      </c>
      <c r="P250" s="177">
        <f>O250*H250</f>
        <v>0</v>
      </c>
      <c r="Q250" s="177">
        <v>0.00057</v>
      </c>
      <c r="R250" s="177">
        <f>Q250*H250</f>
        <v>0</v>
      </c>
      <c r="S250" s="177">
        <v>0</v>
      </c>
      <c r="T250" s="178">
        <f>S250*H250</f>
        <v>0</v>
      </c>
      <c r="AR250" s="179" t="s">
        <v>114</v>
      </c>
      <c r="AT250" s="179" t="s">
        <v>105</v>
      </c>
      <c r="AU250" s="179" t="s">
        <v>75</v>
      </c>
      <c r="AY250" s="180" t="s">
        <v>104</v>
      </c>
      <c r="BE250" s="181">
        <f>IF(N250="základní",J250,0)</f>
        <v>0</v>
      </c>
      <c r="BF250" s="181">
        <f>IF(N250="snížená",J250,0)</f>
        <v>0</v>
      </c>
      <c r="BG250" s="181">
        <f>IF(N250="zákl. přenesená",J250,0)</f>
        <v>0</v>
      </c>
      <c r="BH250" s="181">
        <f>IF(N250="sníž. přenesená",J250,0)</f>
        <v>0</v>
      </c>
      <c r="BI250" s="181">
        <f>IF(N250="nulová",J250,0)</f>
        <v>0</v>
      </c>
      <c r="BJ250" s="180" t="s">
        <v>73</v>
      </c>
      <c r="BK250" s="181">
        <f t="shared" si="75"/>
        <v>0</v>
      </c>
      <c r="BL250" s="180" t="s">
        <v>114</v>
      </c>
      <c r="BM250" s="179" t="s">
        <v>288</v>
      </c>
    </row>
    <row r="251" spans="2:63" s="166" customFormat="1" ht="24">
      <c r="B251" s="167"/>
      <c r="C251" s="168">
        <f>C249+1</f>
        <v>79</v>
      </c>
      <c r="D251" s="168" t="s">
        <v>105</v>
      </c>
      <c r="E251" s="169" t="s">
        <v>286</v>
      </c>
      <c r="F251" s="170" t="s">
        <v>287</v>
      </c>
      <c r="G251" s="171" t="s">
        <v>130</v>
      </c>
      <c r="H251" s="288">
        <v>2</v>
      </c>
      <c r="I251" s="172">
        <v>0</v>
      </c>
      <c r="J251" s="172">
        <f>ROUND(I251*H251,2)</f>
        <v>0</v>
      </c>
      <c r="K251" s="182"/>
      <c r="L251" s="174"/>
      <c r="M251" s="185"/>
      <c r="N251" s="186"/>
      <c r="O251" s="186"/>
      <c r="P251" s="186"/>
      <c r="Q251" s="186"/>
      <c r="R251" s="186"/>
      <c r="S251" s="186"/>
      <c r="T251" s="187"/>
      <c r="AT251" s="180" t="s">
        <v>107</v>
      </c>
      <c r="AU251" s="180" t="s">
        <v>75</v>
      </c>
      <c r="BK251" s="181">
        <f t="shared" si="75"/>
        <v>0</v>
      </c>
    </row>
    <row r="252" spans="2:65" s="166" customFormat="1" ht="24">
      <c r="B252" s="167"/>
      <c r="C252" s="168">
        <f>C251+1</f>
        <v>80</v>
      </c>
      <c r="D252" s="168" t="s">
        <v>105</v>
      </c>
      <c r="E252" s="169" t="s">
        <v>289</v>
      </c>
      <c r="F252" s="170" t="s">
        <v>290</v>
      </c>
      <c r="G252" s="171" t="s">
        <v>111</v>
      </c>
      <c r="H252" s="288">
        <v>2</v>
      </c>
      <c r="I252" s="172">
        <v>0</v>
      </c>
      <c r="J252" s="172">
        <f>ROUND(I252*H252,2)</f>
        <v>0</v>
      </c>
      <c r="K252" s="173"/>
      <c r="L252" s="174"/>
      <c r="M252" s="175" t="s">
        <v>1</v>
      </c>
      <c r="N252" s="176" t="s">
        <v>33</v>
      </c>
      <c r="O252" s="177">
        <v>0.29</v>
      </c>
      <c r="P252" s="177">
        <f>O252*H252</f>
        <v>0.58</v>
      </c>
      <c r="Q252" s="177">
        <v>9E-05</v>
      </c>
      <c r="R252" s="177">
        <f>Q252*H252</f>
        <v>0.00018</v>
      </c>
      <c r="S252" s="177">
        <v>0</v>
      </c>
      <c r="T252" s="178">
        <f>S252*H252</f>
        <v>0</v>
      </c>
      <c r="AR252" s="179" t="s">
        <v>114</v>
      </c>
      <c r="AT252" s="179" t="s">
        <v>105</v>
      </c>
      <c r="AU252" s="179" t="s">
        <v>75</v>
      </c>
      <c r="AY252" s="180" t="s">
        <v>104</v>
      </c>
      <c r="BE252" s="181">
        <f>IF(N252="základní",J252,0)</f>
        <v>0</v>
      </c>
      <c r="BF252" s="181">
        <f>IF(N252="snížená",J252,0)</f>
        <v>0</v>
      </c>
      <c r="BG252" s="181">
        <f>IF(N252="zákl. přenesená",J252,0)</f>
        <v>0</v>
      </c>
      <c r="BH252" s="181">
        <f>IF(N252="sníž. přenesená",J252,0)</f>
        <v>0</v>
      </c>
      <c r="BI252" s="181">
        <f>IF(N252="nulová",J252,0)</f>
        <v>0</v>
      </c>
      <c r="BJ252" s="180" t="s">
        <v>73</v>
      </c>
      <c r="BK252" s="181">
        <f t="shared" si="75"/>
        <v>0</v>
      </c>
      <c r="BL252" s="180" t="s">
        <v>114</v>
      </c>
      <c r="BM252" s="179" t="s">
        <v>294</v>
      </c>
    </row>
    <row r="253" spans="2:63" s="166" customFormat="1" ht="19.5">
      <c r="B253" s="167"/>
      <c r="C253" s="182"/>
      <c r="D253" s="183" t="s">
        <v>107</v>
      </c>
      <c r="E253" s="182"/>
      <c r="F253" s="184" t="s">
        <v>291</v>
      </c>
      <c r="G253" s="182"/>
      <c r="H253" s="289"/>
      <c r="I253" s="182"/>
      <c r="J253" s="182"/>
      <c r="K253" s="182"/>
      <c r="L253" s="174"/>
      <c r="M253" s="185"/>
      <c r="N253" s="186"/>
      <c r="O253" s="186"/>
      <c r="P253" s="186"/>
      <c r="Q253" s="186"/>
      <c r="R253" s="186"/>
      <c r="S253" s="186"/>
      <c r="T253" s="187"/>
      <c r="AT253" s="180" t="s">
        <v>107</v>
      </c>
      <c r="AU253" s="180" t="s">
        <v>75</v>
      </c>
      <c r="BK253" s="181">
        <f t="shared" si="75"/>
        <v>0</v>
      </c>
    </row>
    <row r="254" spans="2:65" s="166" customFormat="1" ht="12">
      <c r="B254" s="167"/>
      <c r="C254" s="168">
        <f>C252+1</f>
        <v>81</v>
      </c>
      <c r="D254" s="168" t="s">
        <v>105</v>
      </c>
      <c r="E254" s="169" t="s">
        <v>292</v>
      </c>
      <c r="F254" s="170" t="s">
        <v>293</v>
      </c>
      <c r="G254" s="171" t="s">
        <v>130</v>
      </c>
      <c r="H254" s="288">
        <f>H257+H256</f>
        <v>52</v>
      </c>
      <c r="I254" s="172">
        <v>0</v>
      </c>
      <c r="J254" s="172">
        <f>ROUND(I254*H254,2)</f>
        <v>0</v>
      </c>
      <c r="K254" s="173"/>
      <c r="L254" s="174"/>
      <c r="M254" s="175" t="s">
        <v>1</v>
      </c>
      <c r="N254" s="176" t="s">
        <v>33</v>
      </c>
      <c r="O254" s="177">
        <v>0</v>
      </c>
      <c r="P254" s="177">
        <f>O254*H254</f>
        <v>0</v>
      </c>
      <c r="Q254" s="177">
        <v>0.0003</v>
      </c>
      <c r="R254" s="177">
        <f>Q254*H254</f>
        <v>0.0156</v>
      </c>
      <c r="S254" s="177">
        <v>0</v>
      </c>
      <c r="T254" s="178">
        <f>S254*H254</f>
        <v>0</v>
      </c>
      <c r="AR254" s="179" t="s">
        <v>115</v>
      </c>
      <c r="AT254" s="179" t="s">
        <v>110</v>
      </c>
      <c r="AU254" s="179" t="s">
        <v>75</v>
      </c>
      <c r="AY254" s="180" t="s">
        <v>104</v>
      </c>
      <c r="BE254" s="181">
        <f>IF(N254="základní",J254,0)</f>
        <v>0</v>
      </c>
      <c r="BF254" s="181">
        <f>IF(N254="snížená",J254,0)</f>
        <v>0</v>
      </c>
      <c r="BG254" s="181">
        <f>IF(N254="zákl. přenesená",J254,0)</f>
        <v>0</v>
      </c>
      <c r="BH254" s="181">
        <f>IF(N254="sníž. přenesená",J254,0)</f>
        <v>0</v>
      </c>
      <c r="BI254" s="181">
        <f>IF(N254="nulová",J254,0)</f>
        <v>0</v>
      </c>
      <c r="BJ254" s="180" t="s">
        <v>73</v>
      </c>
      <c r="BK254" s="181">
        <f t="shared" si="75"/>
        <v>0</v>
      </c>
      <c r="BL254" s="180" t="s">
        <v>114</v>
      </c>
      <c r="BM254" s="179" t="s">
        <v>298</v>
      </c>
    </row>
    <row r="255" spans="2:65" s="166" customFormat="1" ht="19.5">
      <c r="B255" s="167"/>
      <c r="C255" s="182"/>
      <c r="D255" s="183" t="s">
        <v>107</v>
      </c>
      <c r="E255" s="182"/>
      <c r="F255" s="184" t="s">
        <v>295</v>
      </c>
      <c r="G255" s="182"/>
      <c r="H255" s="289"/>
      <c r="I255" s="182"/>
      <c r="J255" s="182"/>
      <c r="K255" s="173"/>
      <c r="L255" s="174"/>
      <c r="M255" s="175" t="s">
        <v>1</v>
      </c>
      <c r="N255" s="176" t="s">
        <v>33</v>
      </c>
      <c r="O255" s="177">
        <v>0.227</v>
      </c>
      <c r="P255" s="177">
        <f>O255*H255</f>
        <v>0</v>
      </c>
      <c r="Q255" s="177">
        <v>9E-05</v>
      </c>
      <c r="R255" s="177">
        <f>Q255*H255</f>
        <v>0</v>
      </c>
      <c r="S255" s="177">
        <v>0</v>
      </c>
      <c r="T255" s="178">
        <f>S255*H255</f>
        <v>0</v>
      </c>
      <c r="AR255" s="179" t="s">
        <v>114</v>
      </c>
      <c r="AT255" s="179" t="s">
        <v>105</v>
      </c>
      <c r="AU255" s="179" t="s">
        <v>75</v>
      </c>
      <c r="AY255" s="180" t="s">
        <v>104</v>
      </c>
      <c r="BE255" s="181">
        <f>IF(N255="základní",J255,0)</f>
        <v>0</v>
      </c>
      <c r="BF255" s="181">
        <f>IF(N255="snížená",J255,0)</f>
        <v>0</v>
      </c>
      <c r="BG255" s="181">
        <f>IF(N255="zákl. přenesená",J255,0)</f>
        <v>0</v>
      </c>
      <c r="BH255" s="181">
        <f>IF(N255="sníž. přenesená",J255,0)</f>
        <v>0</v>
      </c>
      <c r="BI255" s="181">
        <f>IF(N255="nulová",J255,0)</f>
        <v>0</v>
      </c>
      <c r="BJ255" s="180" t="s">
        <v>73</v>
      </c>
      <c r="BK255" s="181">
        <f t="shared" si="75"/>
        <v>0</v>
      </c>
      <c r="BL255" s="180" t="s">
        <v>114</v>
      </c>
      <c r="BM255" s="179" t="s">
        <v>299</v>
      </c>
    </row>
    <row r="256" spans="2:63" s="166" customFormat="1" ht="24">
      <c r="B256" s="167"/>
      <c r="C256" s="168">
        <f>C254+1</f>
        <v>82</v>
      </c>
      <c r="D256" s="168" t="s">
        <v>110</v>
      </c>
      <c r="E256" s="169" t="s">
        <v>296</v>
      </c>
      <c r="F256" s="170" t="s">
        <v>297</v>
      </c>
      <c r="G256" s="171" t="s">
        <v>111</v>
      </c>
      <c r="H256" s="288">
        <f>49-9</f>
        <v>40</v>
      </c>
      <c r="I256" s="172">
        <v>0</v>
      </c>
      <c r="J256" s="172">
        <f>ROUND(I256*H256,2)</f>
        <v>0</v>
      </c>
      <c r="K256" s="182"/>
      <c r="L256" s="174"/>
      <c r="M256" s="185"/>
      <c r="N256" s="186"/>
      <c r="O256" s="186"/>
      <c r="P256" s="186"/>
      <c r="Q256" s="186"/>
      <c r="R256" s="186"/>
      <c r="S256" s="186"/>
      <c r="T256" s="187"/>
      <c r="AT256" s="180" t="s">
        <v>107</v>
      </c>
      <c r="AU256" s="180" t="s">
        <v>75</v>
      </c>
      <c r="BK256" s="181">
        <f t="shared" si="75"/>
        <v>0</v>
      </c>
    </row>
    <row r="257" spans="2:65" s="166" customFormat="1" ht="24">
      <c r="B257" s="167"/>
      <c r="C257" s="168">
        <f>C256+1</f>
        <v>83</v>
      </c>
      <c r="D257" s="168" t="s">
        <v>105</v>
      </c>
      <c r="E257" s="169" t="s">
        <v>300</v>
      </c>
      <c r="F257" s="170" t="s">
        <v>301</v>
      </c>
      <c r="G257" s="171" t="s">
        <v>111</v>
      </c>
      <c r="H257" s="288">
        <v>12</v>
      </c>
      <c r="I257" s="172">
        <v>0</v>
      </c>
      <c r="J257" s="172">
        <f>ROUND(I257*H257,2)</f>
        <v>0</v>
      </c>
      <c r="K257" s="173"/>
      <c r="L257" s="174"/>
      <c r="M257" s="175" t="s">
        <v>1</v>
      </c>
      <c r="N257" s="176" t="s">
        <v>33</v>
      </c>
      <c r="O257" s="177">
        <v>0.176</v>
      </c>
      <c r="P257" s="177">
        <f>O257*H257</f>
        <v>2.112</v>
      </c>
      <c r="Q257" s="177">
        <v>0.00109</v>
      </c>
      <c r="R257" s="177">
        <f>Q257*H257</f>
        <v>0.013080000000000001</v>
      </c>
      <c r="S257" s="177">
        <v>0</v>
      </c>
      <c r="T257" s="178">
        <f>S257*H257</f>
        <v>0</v>
      </c>
      <c r="AR257" s="179" t="s">
        <v>114</v>
      </c>
      <c r="AT257" s="179" t="s">
        <v>105</v>
      </c>
      <c r="AU257" s="179" t="s">
        <v>75</v>
      </c>
      <c r="AY257" s="180" t="s">
        <v>104</v>
      </c>
      <c r="BE257" s="181">
        <f>IF(N257="základní",J257,0)</f>
        <v>0</v>
      </c>
      <c r="BF257" s="181">
        <f>IF(N257="snížená",J257,0)</f>
        <v>0</v>
      </c>
      <c r="BG257" s="181">
        <f>IF(N257="zákl. přenesená",J257,0)</f>
        <v>0</v>
      </c>
      <c r="BH257" s="181">
        <f>IF(N257="sníž. přenesená",J257,0)</f>
        <v>0</v>
      </c>
      <c r="BI257" s="181">
        <f>IF(N257="nulová",J257,0)</f>
        <v>0</v>
      </c>
      <c r="BJ257" s="180" t="s">
        <v>73</v>
      </c>
      <c r="BK257" s="181">
        <f t="shared" si="75"/>
        <v>0</v>
      </c>
      <c r="BL257" s="180" t="s">
        <v>114</v>
      </c>
      <c r="BM257" s="179" t="s">
        <v>302</v>
      </c>
    </row>
    <row r="258" spans="2:65" s="166" customFormat="1" ht="12">
      <c r="B258" s="167"/>
      <c r="C258" s="168">
        <f>C257+1</f>
        <v>84</v>
      </c>
      <c r="D258" s="168" t="s">
        <v>105</v>
      </c>
      <c r="E258" s="169" t="s">
        <v>303</v>
      </c>
      <c r="F258" s="170" t="s">
        <v>304</v>
      </c>
      <c r="G258" s="171" t="s">
        <v>111</v>
      </c>
      <c r="H258" s="288">
        <f>H262+H264+H268</f>
        <v>16</v>
      </c>
      <c r="I258" s="172">
        <v>0</v>
      </c>
      <c r="J258" s="172">
        <f>ROUND(I258*H258,2)</f>
        <v>0</v>
      </c>
      <c r="K258" s="173"/>
      <c r="L258" s="174"/>
      <c r="M258" s="175" t="s">
        <v>1</v>
      </c>
      <c r="N258" s="176" t="s">
        <v>33</v>
      </c>
      <c r="O258" s="177">
        <v>0.165</v>
      </c>
      <c r="P258" s="177">
        <f>O258*H258</f>
        <v>2.64</v>
      </c>
      <c r="Q258" s="177">
        <v>2E-05</v>
      </c>
      <c r="R258" s="177">
        <f>Q258*H258</f>
        <v>0.00032</v>
      </c>
      <c r="S258" s="177">
        <v>0</v>
      </c>
      <c r="T258" s="178">
        <f>S258*H258</f>
        <v>0</v>
      </c>
      <c r="AR258" s="179" t="s">
        <v>114</v>
      </c>
      <c r="AT258" s="179" t="s">
        <v>105</v>
      </c>
      <c r="AU258" s="179" t="s">
        <v>75</v>
      </c>
      <c r="AY258" s="180" t="s">
        <v>104</v>
      </c>
      <c r="BE258" s="181">
        <f>IF(N258="základní",J258,0)</f>
        <v>0</v>
      </c>
      <c r="BF258" s="181">
        <f>IF(N258="snížená",J258,0)</f>
        <v>0</v>
      </c>
      <c r="BG258" s="181">
        <f>IF(N258="zákl. přenesená",J258,0)</f>
        <v>0</v>
      </c>
      <c r="BH258" s="181">
        <f>IF(N258="sníž. přenesená",J258,0)</f>
        <v>0</v>
      </c>
      <c r="BI258" s="181">
        <f>IF(N258="nulová",J258,0)</f>
        <v>0</v>
      </c>
      <c r="BJ258" s="180" t="s">
        <v>73</v>
      </c>
      <c r="BK258" s="181">
        <f t="shared" si="75"/>
        <v>0</v>
      </c>
      <c r="BL258" s="180" t="s">
        <v>114</v>
      </c>
      <c r="BM258" s="179" t="s">
        <v>305</v>
      </c>
    </row>
    <row r="259" spans="2:63" s="166" customFormat="1" ht="19.5">
      <c r="B259" s="167"/>
      <c r="C259" s="182"/>
      <c r="D259" s="183" t="s">
        <v>107</v>
      </c>
      <c r="E259" s="182"/>
      <c r="F259" s="184" t="s">
        <v>306</v>
      </c>
      <c r="G259" s="182"/>
      <c r="H259" s="289"/>
      <c r="I259" s="182"/>
      <c r="J259" s="182"/>
      <c r="K259" s="182"/>
      <c r="L259" s="174"/>
      <c r="M259" s="185"/>
      <c r="N259" s="186"/>
      <c r="O259" s="186"/>
      <c r="P259" s="186"/>
      <c r="Q259" s="186"/>
      <c r="R259" s="186"/>
      <c r="S259" s="186"/>
      <c r="T259" s="187"/>
      <c r="AT259" s="180" t="s">
        <v>107</v>
      </c>
      <c r="AU259" s="180" t="s">
        <v>75</v>
      </c>
      <c r="BK259" s="181">
        <f t="shared" si="75"/>
        <v>0</v>
      </c>
    </row>
    <row r="260" spans="2:65" s="166" customFormat="1" ht="24">
      <c r="B260" s="167"/>
      <c r="C260" s="168">
        <f>C258+1</f>
        <v>85</v>
      </c>
      <c r="D260" s="168" t="s">
        <v>105</v>
      </c>
      <c r="E260" s="169" t="s">
        <v>307</v>
      </c>
      <c r="F260" s="170" t="s">
        <v>308</v>
      </c>
      <c r="G260" s="171" t="s">
        <v>111</v>
      </c>
      <c r="H260" s="288">
        <f>H258*2</f>
        <v>32</v>
      </c>
      <c r="I260" s="172">
        <v>0</v>
      </c>
      <c r="J260" s="172">
        <f>ROUND(I260*H260,2)</f>
        <v>0</v>
      </c>
      <c r="K260" s="173"/>
      <c r="L260" s="174"/>
      <c r="M260" s="175" t="s">
        <v>1</v>
      </c>
      <c r="N260" s="176" t="s">
        <v>33</v>
      </c>
      <c r="O260" s="177">
        <v>0.11</v>
      </c>
      <c r="P260" s="177">
        <f>O260*H260</f>
        <v>3.52</v>
      </c>
      <c r="Q260" s="177">
        <v>6E-05</v>
      </c>
      <c r="R260" s="177">
        <f>Q260*H260</f>
        <v>0.00192</v>
      </c>
      <c r="S260" s="177">
        <v>0</v>
      </c>
      <c r="T260" s="178">
        <f>S260*H260</f>
        <v>0</v>
      </c>
      <c r="AR260" s="179" t="s">
        <v>114</v>
      </c>
      <c r="AT260" s="179" t="s">
        <v>105</v>
      </c>
      <c r="AU260" s="179" t="s">
        <v>75</v>
      </c>
      <c r="AY260" s="180" t="s">
        <v>104</v>
      </c>
      <c r="BE260" s="181">
        <f>IF(N260="základní",J260,0)</f>
        <v>0</v>
      </c>
      <c r="BF260" s="181">
        <f>IF(N260="snížená",J260,0)</f>
        <v>0</v>
      </c>
      <c r="BG260" s="181">
        <f>IF(N260="zákl. přenesená",J260,0)</f>
        <v>0</v>
      </c>
      <c r="BH260" s="181">
        <f>IF(N260="sníž. přenesená",J260,0)</f>
        <v>0</v>
      </c>
      <c r="BI260" s="181">
        <f>IF(N260="nulová",J260,0)</f>
        <v>0</v>
      </c>
      <c r="BJ260" s="180" t="s">
        <v>73</v>
      </c>
      <c r="BK260" s="181">
        <f t="shared" si="75"/>
        <v>0</v>
      </c>
      <c r="BL260" s="180" t="s">
        <v>114</v>
      </c>
      <c r="BM260" s="179" t="s">
        <v>309</v>
      </c>
    </row>
    <row r="261" spans="2:63" s="166" customFormat="1" ht="19.5">
      <c r="B261" s="167"/>
      <c r="C261" s="182"/>
      <c r="D261" s="183" t="s">
        <v>107</v>
      </c>
      <c r="E261" s="182"/>
      <c r="F261" s="184" t="s">
        <v>310</v>
      </c>
      <c r="G261" s="182"/>
      <c r="H261" s="289"/>
      <c r="I261" s="182"/>
      <c r="J261" s="182"/>
      <c r="K261" s="182"/>
      <c r="L261" s="174"/>
      <c r="M261" s="185"/>
      <c r="N261" s="186"/>
      <c r="O261" s="186"/>
      <c r="P261" s="186"/>
      <c r="Q261" s="186"/>
      <c r="R261" s="186"/>
      <c r="S261" s="186"/>
      <c r="T261" s="187"/>
      <c r="AT261" s="180" t="s">
        <v>107</v>
      </c>
      <c r="AU261" s="180" t="s">
        <v>75</v>
      </c>
      <c r="BK261" s="181">
        <f t="shared" si="75"/>
        <v>0</v>
      </c>
    </row>
    <row r="262" spans="2:65" s="166" customFormat="1" ht="24">
      <c r="B262" s="167"/>
      <c r="C262" s="168">
        <f>C260+1</f>
        <v>86</v>
      </c>
      <c r="D262" s="168" t="s">
        <v>105</v>
      </c>
      <c r="E262" s="169" t="s">
        <v>311</v>
      </c>
      <c r="F262" s="170" t="s">
        <v>312</v>
      </c>
      <c r="G262" s="171" t="s">
        <v>111</v>
      </c>
      <c r="H262" s="288">
        <f>10-1</f>
        <v>9</v>
      </c>
      <c r="I262" s="172">
        <v>0</v>
      </c>
      <c r="J262" s="172">
        <f>ROUND(I262*H262,2)</f>
        <v>0</v>
      </c>
      <c r="K262" s="173"/>
      <c r="L262" s="174"/>
      <c r="M262" s="175" t="s">
        <v>1</v>
      </c>
      <c r="N262" s="176" t="s">
        <v>33</v>
      </c>
      <c r="O262" s="177">
        <v>0.16</v>
      </c>
      <c r="P262" s="177">
        <f>O262*H262</f>
        <v>1.44</v>
      </c>
      <c r="Q262" s="177">
        <v>0.00027</v>
      </c>
      <c r="R262" s="177">
        <f>Q262*H262</f>
        <v>0.00243</v>
      </c>
      <c r="S262" s="177">
        <v>0</v>
      </c>
      <c r="T262" s="178">
        <f>S262*H262</f>
        <v>0</v>
      </c>
      <c r="AR262" s="179" t="s">
        <v>114</v>
      </c>
      <c r="AT262" s="179" t="s">
        <v>105</v>
      </c>
      <c r="AU262" s="179" t="s">
        <v>75</v>
      </c>
      <c r="AY262" s="180" t="s">
        <v>104</v>
      </c>
      <c r="BE262" s="181">
        <f>IF(N262="základní",J262,0)</f>
        <v>0</v>
      </c>
      <c r="BF262" s="181">
        <f>IF(N262="snížená",J262,0)</f>
        <v>0</v>
      </c>
      <c r="BG262" s="181">
        <f>IF(N262="zákl. přenesená",J262,0)</f>
        <v>0</v>
      </c>
      <c r="BH262" s="181">
        <f>IF(N262="sníž. přenesená",J262,0)</f>
        <v>0</v>
      </c>
      <c r="BI262" s="181">
        <f>IF(N262="nulová",J262,0)</f>
        <v>0</v>
      </c>
      <c r="BJ262" s="180" t="s">
        <v>73</v>
      </c>
      <c r="BK262" s="181">
        <f t="shared" si="75"/>
        <v>0</v>
      </c>
      <c r="BL262" s="180" t="s">
        <v>114</v>
      </c>
      <c r="BM262" s="179" t="s">
        <v>313</v>
      </c>
    </row>
    <row r="263" spans="2:63" s="166" customFormat="1" ht="19.5">
      <c r="B263" s="167"/>
      <c r="C263" s="182"/>
      <c r="D263" s="183" t="s">
        <v>107</v>
      </c>
      <c r="E263" s="182"/>
      <c r="F263" s="184" t="s">
        <v>314</v>
      </c>
      <c r="G263" s="182"/>
      <c r="H263" s="289"/>
      <c r="I263" s="182"/>
      <c r="J263" s="182"/>
      <c r="K263" s="182"/>
      <c r="L263" s="174"/>
      <c r="M263" s="185"/>
      <c r="N263" s="186"/>
      <c r="O263" s="186"/>
      <c r="P263" s="186"/>
      <c r="Q263" s="186"/>
      <c r="R263" s="186"/>
      <c r="S263" s="186"/>
      <c r="T263" s="187"/>
      <c r="AT263" s="180" t="s">
        <v>107</v>
      </c>
      <c r="AU263" s="180" t="s">
        <v>75</v>
      </c>
      <c r="BK263" s="181">
        <f t="shared" si="75"/>
        <v>0</v>
      </c>
    </row>
    <row r="264" spans="2:65" s="166" customFormat="1" ht="24">
      <c r="B264" s="167"/>
      <c r="C264" s="168">
        <f>C262+1</f>
        <v>87</v>
      </c>
      <c r="D264" s="168" t="s">
        <v>105</v>
      </c>
      <c r="E264" s="169" t="s">
        <v>315</v>
      </c>
      <c r="F264" s="170" t="s">
        <v>316</v>
      </c>
      <c r="G264" s="171" t="s">
        <v>111</v>
      </c>
      <c r="H264" s="288">
        <v>1</v>
      </c>
      <c r="I264" s="172">
        <v>0</v>
      </c>
      <c r="J264" s="172">
        <f>ROUND(I264*H264,2)</f>
        <v>0</v>
      </c>
      <c r="K264" s="173"/>
      <c r="L264" s="174"/>
      <c r="M264" s="175" t="s">
        <v>1</v>
      </c>
      <c r="N264" s="176" t="s">
        <v>33</v>
      </c>
      <c r="O264" s="177">
        <v>0.165</v>
      </c>
      <c r="P264" s="177">
        <f>O264*H264</f>
        <v>0.165</v>
      </c>
      <c r="Q264" s="177">
        <v>0.00012</v>
      </c>
      <c r="R264" s="177">
        <f>Q264*H264</f>
        <v>0.00012</v>
      </c>
      <c r="S264" s="177">
        <v>0</v>
      </c>
      <c r="T264" s="178">
        <f>S264*H264</f>
        <v>0</v>
      </c>
      <c r="AR264" s="179" t="s">
        <v>114</v>
      </c>
      <c r="AT264" s="179" t="s">
        <v>105</v>
      </c>
      <c r="AU264" s="179" t="s">
        <v>75</v>
      </c>
      <c r="AY264" s="180" t="s">
        <v>104</v>
      </c>
      <c r="BE264" s="181">
        <f>IF(N264="základní",J264,0)</f>
        <v>0</v>
      </c>
      <c r="BF264" s="181">
        <f>IF(N264="snížená",J264,0)</f>
        <v>0</v>
      </c>
      <c r="BG264" s="181">
        <f>IF(N264="zákl. přenesená",J264,0)</f>
        <v>0</v>
      </c>
      <c r="BH264" s="181">
        <f>IF(N264="sníž. přenesená",J264,0)</f>
        <v>0</v>
      </c>
      <c r="BI264" s="181">
        <f>IF(N264="nulová",J264,0)</f>
        <v>0</v>
      </c>
      <c r="BJ264" s="180" t="s">
        <v>73</v>
      </c>
      <c r="BK264" s="181">
        <f t="shared" si="75"/>
        <v>0</v>
      </c>
      <c r="BL264" s="180" t="s">
        <v>114</v>
      </c>
      <c r="BM264" s="179" t="s">
        <v>317</v>
      </c>
    </row>
    <row r="265" spans="2:63" s="166" customFormat="1" ht="19.5">
      <c r="B265" s="167"/>
      <c r="C265" s="182"/>
      <c r="D265" s="183" t="s">
        <v>107</v>
      </c>
      <c r="E265" s="182"/>
      <c r="F265" s="184" t="s">
        <v>318</v>
      </c>
      <c r="G265" s="182"/>
      <c r="H265" s="289"/>
      <c r="I265" s="182"/>
      <c r="J265" s="182"/>
      <c r="K265" s="182"/>
      <c r="L265" s="174"/>
      <c r="M265" s="185"/>
      <c r="N265" s="186"/>
      <c r="O265" s="186"/>
      <c r="P265" s="186"/>
      <c r="Q265" s="186"/>
      <c r="R265" s="186"/>
      <c r="S265" s="186"/>
      <c r="T265" s="187"/>
      <c r="AT265" s="180" t="s">
        <v>107</v>
      </c>
      <c r="AU265" s="180" t="s">
        <v>75</v>
      </c>
      <c r="BK265" s="181">
        <f t="shared" si="75"/>
        <v>0</v>
      </c>
    </row>
    <row r="266" spans="2:65" s="166" customFormat="1" ht="24">
      <c r="B266" s="167"/>
      <c r="C266" s="168">
        <f>C264+1</f>
        <v>88</v>
      </c>
      <c r="D266" s="168"/>
      <c r="E266" s="169" t="s">
        <v>642</v>
      </c>
      <c r="F266" s="170" t="s">
        <v>643</v>
      </c>
      <c r="G266" s="171" t="s">
        <v>111</v>
      </c>
      <c r="H266" s="288">
        <v>1</v>
      </c>
      <c r="I266" s="172">
        <v>0</v>
      </c>
      <c r="J266" s="172">
        <f aca="true" t="shared" si="86" ref="J266:J272">ROUND(I266*H266,2)</f>
        <v>0</v>
      </c>
      <c r="K266" s="173"/>
      <c r="L266" s="174"/>
      <c r="M266" s="175" t="s">
        <v>1</v>
      </c>
      <c r="N266" s="176" t="s">
        <v>33</v>
      </c>
      <c r="O266" s="177">
        <v>0.16</v>
      </c>
      <c r="P266" s="177">
        <f>O266*H266</f>
        <v>0.16</v>
      </c>
      <c r="Q266" s="177">
        <v>0.00027</v>
      </c>
      <c r="R266" s="177">
        <f>Q266*H266</f>
        <v>0.00027</v>
      </c>
      <c r="S266" s="177">
        <v>0</v>
      </c>
      <c r="T266" s="178">
        <f>S266*H266</f>
        <v>0</v>
      </c>
      <c r="AR266" s="179" t="s">
        <v>114</v>
      </c>
      <c r="AT266" s="179" t="s">
        <v>105</v>
      </c>
      <c r="AU266" s="179" t="s">
        <v>75</v>
      </c>
      <c r="AY266" s="180" t="s">
        <v>104</v>
      </c>
      <c r="BE266" s="181">
        <f>IF(N266="základní",J266,0)</f>
        <v>0</v>
      </c>
      <c r="BF266" s="181">
        <f>IF(N266="snížená",J266,0)</f>
        <v>0</v>
      </c>
      <c r="BG266" s="181">
        <f>IF(N266="zákl. přenesená",J266,0)</f>
        <v>0</v>
      </c>
      <c r="BH266" s="181">
        <f>IF(N266="sníž. přenesená",J266,0)</f>
        <v>0</v>
      </c>
      <c r="BI266" s="181">
        <f>IF(N266="nulová",J266,0)</f>
        <v>0</v>
      </c>
      <c r="BJ266" s="180" t="s">
        <v>73</v>
      </c>
      <c r="BK266" s="181">
        <f t="shared" si="75"/>
        <v>0</v>
      </c>
      <c r="BL266" s="180" t="s">
        <v>114</v>
      </c>
      <c r="BM266" s="179" t="s">
        <v>319</v>
      </c>
    </row>
    <row r="267" spans="2:65" s="166" customFormat="1" ht="12">
      <c r="B267" s="167"/>
      <c r="C267" s="168">
        <f>C266+1</f>
        <v>89</v>
      </c>
      <c r="D267" s="183"/>
      <c r="E267" s="169" t="s">
        <v>644</v>
      </c>
      <c r="F267" s="170" t="s">
        <v>645</v>
      </c>
      <c r="G267" s="171" t="s">
        <v>111</v>
      </c>
      <c r="H267" s="288">
        <v>2</v>
      </c>
      <c r="I267" s="172">
        <v>0</v>
      </c>
      <c r="J267" s="172">
        <f t="shared" si="86"/>
        <v>0</v>
      </c>
      <c r="K267" s="173"/>
      <c r="L267" s="174"/>
      <c r="M267" s="175" t="s">
        <v>1</v>
      </c>
      <c r="N267" s="176" t="s">
        <v>33</v>
      </c>
      <c r="O267" s="177">
        <v>0.165</v>
      </c>
      <c r="P267" s="177">
        <f>O267*H267</f>
        <v>0.33</v>
      </c>
      <c r="Q267" s="177">
        <v>0.00186</v>
      </c>
      <c r="R267" s="177">
        <f>Q267*H267</f>
        <v>0.00372</v>
      </c>
      <c r="S267" s="177">
        <v>0</v>
      </c>
      <c r="T267" s="178">
        <f>S267*H267</f>
        <v>0</v>
      </c>
      <c r="AR267" s="179" t="s">
        <v>114</v>
      </c>
      <c r="AT267" s="179" t="s">
        <v>105</v>
      </c>
      <c r="AU267" s="179" t="s">
        <v>75</v>
      </c>
      <c r="AY267" s="180" t="s">
        <v>104</v>
      </c>
      <c r="BE267" s="181">
        <f>IF(N267="základní",J267,0)</f>
        <v>0</v>
      </c>
      <c r="BF267" s="181">
        <f>IF(N267="snížená",J267,0)</f>
        <v>0</v>
      </c>
      <c r="BG267" s="181">
        <f>IF(N267="zákl. přenesená",J267,0)</f>
        <v>0</v>
      </c>
      <c r="BH267" s="181">
        <f>IF(N267="sníž. přenesená",J267,0)</f>
        <v>0</v>
      </c>
      <c r="BI267" s="181">
        <f>IF(N267="nulová",J267,0)</f>
        <v>0</v>
      </c>
      <c r="BJ267" s="180" t="s">
        <v>73</v>
      </c>
      <c r="BK267" s="181">
        <f t="shared" si="75"/>
        <v>0</v>
      </c>
      <c r="BL267" s="180" t="s">
        <v>114</v>
      </c>
      <c r="BM267" s="179" t="s">
        <v>320</v>
      </c>
    </row>
    <row r="268" spans="2:65" s="166" customFormat="1" ht="24">
      <c r="B268" s="167"/>
      <c r="C268" s="168">
        <f>C267+1</f>
        <v>90</v>
      </c>
      <c r="D268" s="168"/>
      <c r="E268" s="169" t="s">
        <v>649</v>
      </c>
      <c r="F268" s="170" t="s">
        <v>696</v>
      </c>
      <c r="G268" s="171" t="s">
        <v>111</v>
      </c>
      <c r="H268" s="288">
        <v>6</v>
      </c>
      <c r="I268" s="172">
        <v>0</v>
      </c>
      <c r="J268" s="172">
        <f t="shared" si="86"/>
        <v>0</v>
      </c>
      <c r="K268" s="173"/>
      <c r="L268" s="174"/>
      <c r="M268" s="175" t="s">
        <v>1</v>
      </c>
      <c r="N268" s="176" t="s">
        <v>33</v>
      </c>
      <c r="O268" s="177">
        <v>0.165</v>
      </c>
      <c r="P268" s="177">
        <f>O268*H268</f>
        <v>0.99</v>
      </c>
      <c r="Q268" s="177">
        <v>0.00021</v>
      </c>
      <c r="R268" s="177">
        <f>Q268*H268</f>
        <v>0.00126</v>
      </c>
      <c r="S268" s="177">
        <v>0</v>
      </c>
      <c r="T268" s="178">
        <f>S268*H268</f>
        <v>0</v>
      </c>
      <c r="AR268" s="179" t="s">
        <v>114</v>
      </c>
      <c r="AT268" s="179" t="s">
        <v>105</v>
      </c>
      <c r="AU268" s="179" t="s">
        <v>75</v>
      </c>
      <c r="AY268" s="180" t="s">
        <v>104</v>
      </c>
      <c r="BE268" s="181">
        <f>IF(N268="základní",J268,0)</f>
        <v>0</v>
      </c>
      <c r="BF268" s="181">
        <f>IF(N268="snížená",J268,0)</f>
        <v>0</v>
      </c>
      <c r="BG268" s="181">
        <f>IF(N268="zákl. přenesená",J268,0)</f>
        <v>0</v>
      </c>
      <c r="BH268" s="181">
        <f>IF(N268="sníž. přenesená",J268,0)</f>
        <v>0</v>
      </c>
      <c r="BI268" s="181">
        <f>IF(N268="nulová",J268,0)</f>
        <v>0</v>
      </c>
      <c r="BJ268" s="180" t="s">
        <v>73</v>
      </c>
      <c r="BK268" s="181">
        <f t="shared" si="75"/>
        <v>0</v>
      </c>
      <c r="BL268" s="180" t="s">
        <v>114</v>
      </c>
      <c r="BM268" s="179" t="s">
        <v>321</v>
      </c>
    </row>
    <row r="269" spans="2:63" s="166" customFormat="1" ht="24">
      <c r="B269" s="167"/>
      <c r="C269" s="168">
        <f>C268+1</f>
        <v>91</v>
      </c>
      <c r="D269" s="183"/>
      <c r="E269" s="169" t="s">
        <v>650</v>
      </c>
      <c r="F269" s="170" t="s">
        <v>651</v>
      </c>
      <c r="G269" s="171" t="s">
        <v>111</v>
      </c>
      <c r="H269" s="288">
        <f>H268</f>
        <v>6</v>
      </c>
      <c r="I269" s="172">
        <v>0</v>
      </c>
      <c r="J269" s="172">
        <f t="shared" si="86"/>
        <v>0</v>
      </c>
      <c r="K269" s="182"/>
      <c r="L269" s="174"/>
      <c r="M269" s="185"/>
      <c r="N269" s="186"/>
      <c r="O269" s="186"/>
      <c r="P269" s="186"/>
      <c r="Q269" s="186"/>
      <c r="R269" s="186"/>
      <c r="S269" s="186"/>
      <c r="T269" s="187"/>
      <c r="AT269" s="180" t="s">
        <v>107</v>
      </c>
      <c r="AU269" s="180" t="s">
        <v>75</v>
      </c>
      <c r="BK269" s="181">
        <f t="shared" si="75"/>
        <v>0</v>
      </c>
    </row>
    <row r="270" spans="2:65" s="166" customFormat="1" ht="24">
      <c r="B270" s="167"/>
      <c r="C270" s="168">
        <f aca="true" t="shared" si="87" ref="C270:C272">C269+1</f>
        <v>92</v>
      </c>
      <c r="D270" s="168"/>
      <c r="E270" s="169" t="s">
        <v>653</v>
      </c>
      <c r="F270" s="170" t="s">
        <v>654</v>
      </c>
      <c r="G270" s="171"/>
      <c r="H270" s="288">
        <v>1</v>
      </c>
      <c r="I270" s="172">
        <v>0</v>
      </c>
      <c r="J270" s="172">
        <f t="shared" si="86"/>
        <v>0</v>
      </c>
      <c r="K270" s="173"/>
      <c r="L270" s="174"/>
      <c r="M270" s="175" t="s">
        <v>1</v>
      </c>
      <c r="N270" s="176" t="s">
        <v>33</v>
      </c>
      <c r="O270" s="177">
        <v>0.207</v>
      </c>
      <c r="P270" s="177">
        <f>O270*H270</f>
        <v>0.207</v>
      </c>
      <c r="Q270" s="177">
        <v>2E-05</v>
      </c>
      <c r="R270" s="177">
        <f>Q270*H270</f>
        <v>2E-05</v>
      </c>
      <c r="S270" s="177">
        <v>0</v>
      </c>
      <c r="T270" s="178">
        <f>S270*H270</f>
        <v>0</v>
      </c>
      <c r="AR270" s="179" t="s">
        <v>114</v>
      </c>
      <c r="AT270" s="179" t="s">
        <v>105</v>
      </c>
      <c r="AU270" s="179" t="s">
        <v>75</v>
      </c>
      <c r="AY270" s="180" t="s">
        <v>104</v>
      </c>
      <c r="BE270" s="181">
        <f>IF(N270="základní",J270,0)</f>
        <v>0</v>
      </c>
      <c r="BF270" s="181">
        <f>IF(N270="snížená",J270,0)</f>
        <v>0</v>
      </c>
      <c r="BG270" s="181">
        <f>IF(N270="zákl. přenesená",J270,0)</f>
        <v>0</v>
      </c>
      <c r="BH270" s="181">
        <f>IF(N270="sníž. přenesená",J270,0)</f>
        <v>0</v>
      </c>
      <c r="BI270" s="181">
        <f>IF(N270="nulová",J270,0)</f>
        <v>0</v>
      </c>
      <c r="BJ270" s="180" t="s">
        <v>73</v>
      </c>
      <c r="BK270" s="181">
        <f t="shared" si="75"/>
        <v>0</v>
      </c>
      <c r="BL270" s="180" t="s">
        <v>114</v>
      </c>
      <c r="BM270" s="179" t="s">
        <v>322</v>
      </c>
    </row>
    <row r="271" spans="2:65" s="166" customFormat="1" ht="24">
      <c r="B271" s="167"/>
      <c r="C271" s="168">
        <f t="shared" si="87"/>
        <v>93</v>
      </c>
      <c r="D271" s="168"/>
      <c r="E271" s="169" t="s">
        <v>652</v>
      </c>
      <c r="F271" s="170" t="s">
        <v>655</v>
      </c>
      <c r="G271" s="171" t="s">
        <v>111</v>
      </c>
      <c r="H271" s="288">
        <f>H270</f>
        <v>1</v>
      </c>
      <c r="I271" s="172">
        <v>0</v>
      </c>
      <c r="J271" s="172">
        <f t="shared" si="86"/>
        <v>0</v>
      </c>
      <c r="K271" s="173"/>
      <c r="L271" s="174"/>
      <c r="M271" s="175" t="s">
        <v>1</v>
      </c>
      <c r="N271" s="176" t="s">
        <v>33</v>
      </c>
      <c r="O271" s="177">
        <v>0.121</v>
      </c>
      <c r="P271" s="177">
        <f>O271*H271</f>
        <v>0.121</v>
      </c>
      <c r="Q271" s="177">
        <v>0.0001</v>
      </c>
      <c r="R271" s="177">
        <f>Q271*H271</f>
        <v>0.0001</v>
      </c>
      <c r="S271" s="177">
        <v>0</v>
      </c>
      <c r="T271" s="178">
        <f>S271*H271</f>
        <v>0</v>
      </c>
      <c r="AR271" s="179" t="s">
        <v>114</v>
      </c>
      <c r="AT271" s="179" t="s">
        <v>105</v>
      </c>
      <c r="AU271" s="179" t="s">
        <v>75</v>
      </c>
      <c r="AY271" s="180" t="s">
        <v>104</v>
      </c>
      <c r="BE271" s="181">
        <f>IF(N271="základní",J271,0)</f>
        <v>0</v>
      </c>
      <c r="BF271" s="181">
        <f>IF(N271="snížená",J271,0)</f>
        <v>0</v>
      </c>
      <c r="BG271" s="181">
        <f>IF(N271="zákl. přenesená",J271,0)</f>
        <v>0</v>
      </c>
      <c r="BH271" s="181">
        <f>IF(N271="sníž. přenesená",J271,0)</f>
        <v>0</v>
      </c>
      <c r="BI271" s="181">
        <f>IF(N271="nulová",J271,0)</f>
        <v>0</v>
      </c>
      <c r="BJ271" s="180" t="s">
        <v>73</v>
      </c>
      <c r="BK271" s="181">
        <f t="shared" si="75"/>
        <v>0</v>
      </c>
      <c r="BL271" s="180" t="s">
        <v>114</v>
      </c>
      <c r="BM271" s="179" t="s">
        <v>325</v>
      </c>
    </row>
    <row r="272" spans="2:65" s="166" customFormat="1" ht="12">
      <c r="B272" s="167"/>
      <c r="C272" s="168">
        <f t="shared" si="87"/>
        <v>94</v>
      </c>
      <c r="D272" s="168" t="s">
        <v>105</v>
      </c>
      <c r="E272" s="169" t="s">
        <v>120</v>
      </c>
      <c r="F272" s="170" t="s">
        <v>121</v>
      </c>
      <c r="G272" s="171" t="s">
        <v>111</v>
      </c>
      <c r="H272" s="288">
        <f>H276</f>
        <v>2</v>
      </c>
      <c r="I272" s="172">
        <v>0</v>
      </c>
      <c r="J272" s="172">
        <f t="shared" si="86"/>
        <v>0</v>
      </c>
      <c r="K272" s="173"/>
      <c r="L272" s="174"/>
      <c r="M272" s="175" t="s">
        <v>1</v>
      </c>
      <c r="N272" s="176" t="s">
        <v>33</v>
      </c>
      <c r="O272" s="177">
        <v>0.2</v>
      </c>
      <c r="P272" s="177">
        <f>O272*H272</f>
        <v>0.4</v>
      </c>
      <c r="Q272" s="177">
        <v>0.0004</v>
      </c>
      <c r="R272" s="177">
        <f>Q272*H272</f>
        <v>0.0008</v>
      </c>
      <c r="S272" s="177">
        <v>0</v>
      </c>
      <c r="T272" s="178">
        <f>S272*H272</f>
        <v>0</v>
      </c>
      <c r="AR272" s="179" t="s">
        <v>114</v>
      </c>
      <c r="AT272" s="179" t="s">
        <v>105</v>
      </c>
      <c r="AU272" s="179" t="s">
        <v>75</v>
      </c>
      <c r="AY272" s="180" t="s">
        <v>104</v>
      </c>
      <c r="BE272" s="181">
        <f>IF(N272="základní",J272,0)</f>
        <v>0</v>
      </c>
      <c r="BF272" s="181">
        <f>IF(N272="snížená",J272,0)</f>
        <v>0</v>
      </c>
      <c r="BG272" s="181">
        <f>IF(N272="zákl. přenesená",J272,0)</f>
        <v>0</v>
      </c>
      <c r="BH272" s="181">
        <f>IF(N272="sníž. přenesená",J272,0)</f>
        <v>0</v>
      </c>
      <c r="BI272" s="181">
        <f>IF(N272="nulová",J272,0)</f>
        <v>0</v>
      </c>
      <c r="BJ272" s="180" t="s">
        <v>73</v>
      </c>
      <c r="BK272" s="181">
        <f t="shared" si="75"/>
        <v>0</v>
      </c>
      <c r="BL272" s="180" t="s">
        <v>114</v>
      </c>
      <c r="BM272" s="179" t="s">
        <v>327</v>
      </c>
    </row>
    <row r="273" spans="2:63" s="166" customFormat="1" ht="19.5">
      <c r="B273" s="167"/>
      <c r="C273" s="182"/>
      <c r="D273" s="183" t="s">
        <v>107</v>
      </c>
      <c r="E273" s="182"/>
      <c r="F273" s="184" t="s">
        <v>122</v>
      </c>
      <c r="G273" s="182"/>
      <c r="H273" s="289"/>
      <c r="I273" s="182"/>
      <c r="J273" s="182"/>
      <c r="K273" s="182"/>
      <c r="L273" s="174"/>
      <c r="M273" s="185"/>
      <c r="N273" s="186"/>
      <c r="O273" s="186"/>
      <c r="P273" s="186"/>
      <c r="Q273" s="186"/>
      <c r="R273" s="186"/>
      <c r="S273" s="186"/>
      <c r="T273" s="187"/>
      <c r="AT273" s="180" t="s">
        <v>107</v>
      </c>
      <c r="AU273" s="180" t="s">
        <v>75</v>
      </c>
      <c r="BK273" s="181">
        <f t="shared" si="75"/>
        <v>0</v>
      </c>
    </row>
    <row r="274" spans="2:65" s="166" customFormat="1" ht="24">
      <c r="B274" s="167"/>
      <c r="C274" s="168">
        <f>C272+1</f>
        <v>95</v>
      </c>
      <c r="D274" s="168" t="s">
        <v>105</v>
      </c>
      <c r="E274" s="169" t="s">
        <v>323</v>
      </c>
      <c r="F274" s="170" t="s">
        <v>324</v>
      </c>
      <c r="G274" s="171" t="s">
        <v>111</v>
      </c>
      <c r="H274" s="288">
        <f>H272*2</f>
        <v>4</v>
      </c>
      <c r="I274" s="172">
        <v>0</v>
      </c>
      <c r="J274" s="172">
        <f>ROUND(I274*H274,2)</f>
        <v>0</v>
      </c>
      <c r="K274" s="173"/>
      <c r="L274" s="174"/>
      <c r="M274" s="175" t="s">
        <v>1</v>
      </c>
      <c r="N274" s="176" t="s">
        <v>33</v>
      </c>
      <c r="O274" s="177">
        <v>0.207</v>
      </c>
      <c r="P274" s="177">
        <f>O274*H274</f>
        <v>0.828</v>
      </c>
      <c r="Q274" s="177">
        <v>0.002</v>
      </c>
      <c r="R274" s="177">
        <f>Q274*H274</f>
        <v>0.008</v>
      </c>
      <c r="S274" s="177">
        <v>0</v>
      </c>
      <c r="T274" s="178">
        <f>S274*H274</f>
        <v>0</v>
      </c>
      <c r="AR274" s="179" t="s">
        <v>114</v>
      </c>
      <c r="AT274" s="179" t="s">
        <v>105</v>
      </c>
      <c r="AU274" s="179" t="s">
        <v>75</v>
      </c>
      <c r="AY274" s="180" t="s">
        <v>104</v>
      </c>
      <c r="BE274" s="181">
        <f>IF(N274="základní",J274,0)</f>
        <v>0</v>
      </c>
      <c r="BF274" s="181">
        <f>IF(N274="snížená",J274,0)</f>
        <v>0</v>
      </c>
      <c r="BG274" s="181">
        <f>IF(N274="zákl. přenesená",J274,0)</f>
        <v>0</v>
      </c>
      <c r="BH274" s="181">
        <f>IF(N274="sníž. přenesená",J274,0)</f>
        <v>0</v>
      </c>
      <c r="BI274" s="181">
        <f>IF(N274="nulová",J274,0)</f>
        <v>0</v>
      </c>
      <c r="BJ274" s="180" t="s">
        <v>73</v>
      </c>
      <c r="BK274" s="181">
        <f t="shared" si="75"/>
        <v>0</v>
      </c>
      <c r="BL274" s="180" t="s">
        <v>114</v>
      </c>
      <c r="BM274" s="179" t="s">
        <v>328</v>
      </c>
    </row>
    <row r="275" spans="2:65" s="166" customFormat="1" ht="19.5">
      <c r="B275" s="167"/>
      <c r="C275" s="182"/>
      <c r="D275" s="183" t="s">
        <v>107</v>
      </c>
      <c r="E275" s="182"/>
      <c r="F275" s="184" t="s">
        <v>326</v>
      </c>
      <c r="G275" s="182"/>
      <c r="H275" s="289"/>
      <c r="I275" s="182"/>
      <c r="J275" s="182"/>
      <c r="K275" s="173"/>
      <c r="L275" s="174"/>
      <c r="M275" s="175" t="s">
        <v>1</v>
      </c>
      <c r="N275" s="176" t="s">
        <v>33</v>
      </c>
      <c r="O275" s="177">
        <v>0.207</v>
      </c>
      <c r="P275" s="177">
        <f>O275*H275</f>
        <v>0</v>
      </c>
      <c r="Q275" s="177">
        <v>0.00035</v>
      </c>
      <c r="R275" s="177">
        <f>Q275*H275</f>
        <v>0</v>
      </c>
      <c r="S275" s="177">
        <v>0</v>
      </c>
      <c r="T275" s="178">
        <f>S275*H275</f>
        <v>0</v>
      </c>
      <c r="AR275" s="179" t="s">
        <v>114</v>
      </c>
      <c r="AT275" s="179" t="s">
        <v>105</v>
      </c>
      <c r="AU275" s="179" t="s">
        <v>75</v>
      </c>
      <c r="AY275" s="180" t="s">
        <v>104</v>
      </c>
      <c r="BE275" s="181">
        <f>IF(N275="základní",J275,0)</f>
        <v>0</v>
      </c>
      <c r="BF275" s="181">
        <f>IF(N275="snížená",J275,0)</f>
        <v>0</v>
      </c>
      <c r="BG275" s="181">
        <f>IF(N275="zákl. přenesená",J275,0)</f>
        <v>0</v>
      </c>
      <c r="BH275" s="181">
        <f>IF(N275="sníž. přenesená",J275,0)</f>
        <v>0</v>
      </c>
      <c r="BI275" s="181">
        <f>IF(N275="nulová",J275,0)</f>
        <v>0</v>
      </c>
      <c r="BJ275" s="180" t="s">
        <v>73</v>
      </c>
      <c r="BK275" s="181">
        <f t="shared" si="75"/>
        <v>0</v>
      </c>
      <c r="BL275" s="180" t="s">
        <v>114</v>
      </c>
      <c r="BM275" s="179" t="s">
        <v>329</v>
      </c>
    </row>
    <row r="276" spans="2:63" s="166" customFormat="1" ht="24">
      <c r="B276" s="167"/>
      <c r="C276" s="168">
        <f>C274+1</f>
        <v>96</v>
      </c>
      <c r="D276" s="168" t="s">
        <v>105</v>
      </c>
      <c r="E276" s="169" t="s">
        <v>123</v>
      </c>
      <c r="F276" s="170" t="s">
        <v>124</v>
      </c>
      <c r="G276" s="171" t="s">
        <v>111</v>
      </c>
      <c r="H276" s="288">
        <f>3-1</f>
        <v>2</v>
      </c>
      <c r="I276" s="172">
        <v>0</v>
      </c>
      <c r="J276" s="172">
        <f>ROUND(I276*H276,2)</f>
        <v>0</v>
      </c>
      <c r="K276" s="182"/>
      <c r="L276" s="174"/>
      <c r="M276" s="185"/>
      <c r="N276" s="186"/>
      <c r="O276" s="186"/>
      <c r="P276" s="186"/>
      <c r="Q276" s="186"/>
      <c r="R276" s="186"/>
      <c r="S276" s="186"/>
      <c r="T276" s="187"/>
      <c r="AT276" s="180" t="s">
        <v>107</v>
      </c>
      <c r="AU276" s="180" t="s">
        <v>75</v>
      </c>
      <c r="BK276" s="181">
        <f t="shared" si="75"/>
        <v>0</v>
      </c>
    </row>
    <row r="277" spans="2:65" s="166" customFormat="1" ht="19.5">
      <c r="B277" s="167"/>
      <c r="C277" s="182"/>
      <c r="D277" s="183" t="s">
        <v>107</v>
      </c>
      <c r="E277" s="182"/>
      <c r="F277" s="184" t="s">
        <v>125</v>
      </c>
      <c r="G277" s="182"/>
      <c r="H277" s="289"/>
      <c r="I277" s="182"/>
      <c r="J277" s="182"/>
      <c r="K277" s="173"/>
      <c r="L277" s="174"/>
      <c r="M277" s="175" t="s">
        <v>1</v>
      </c>
      <c r="N277" s="176" t="s">
        <v>33</v>
      </c>
      <c r="O277" s="177">
        <v>0.179</v>
      </c>
      <c r="P277" s="177">
        <f>O277*H277</f>
        <v>0</v>
      </c>
      <c r="Q277" s="177">
        <v>0.00011</v>
      </c>
      <c r="R277" s="177">
        <f>Q277*H277</f>
        <v>0</v>
      </c>
      <c r="S277" s="177">
        <v>0</v>
      </c>
      <c r="T277" s="178">
        <f>S277*H277</f>
        <v>0</v>
      </c>
      <c r="AR277" s="179" t="s">
        <v>114</v>
      </c>
      <c r="AT277" s="179" t="s">
        <v>105</v>
      </c>
      <c r="AU277" s="179" t="s">
        <v>75</v>
      </c>
      <c r="AY277" s="180" t="s">
        <v>104</v>
      </c>
      <c r="BE277" s="181">
        <f>IF(N277="základní",J277,0)</f>
        <v>0</v>
      </c>
      <c r="BF277" s="181">
        <f>IF(N277="snížená",J277,0)</f>
        <v>0</v>
      </c>
      <c r="BG277" s="181">
        <f>IF(N277="zákl. přenesená",J277,0)</f>
        <v>0</v>
      </c>
      <c r="BH277" s="181">
        <f>IF(N277="sníž. přenesená",J277,0)</f>
        <v>0</v>
      </c>
      <c r="BI277" s="181">
        <f>IF(N277="nulová",J277,0)</f>
        <v>0</v>
      </c>
      <c r="BJ277" s="180" t="s">
        <v>73</v>
      </c>
      <c r="BK277" s="181">
        <f t="shared" si="75"/>
        <v>0</v>
      </c>
      <c r="BL277" s="180" t="s">
        <v>114</v>
      </c>
      <c r="BM277" s="179" t="s">
        <v>330</v>
      </c>
    </row>
    <row r="278" spans="2:65" s="166" customFormat="1" ht="24">
      <c r="B278" s="167"/>
      <c r="C278" s="168">
        <f>C276+1</f>
        <v>97</v>
      </c>
      <c r="D278" s="168" t="s">
        <v>105</v>
      </c>
      <c r="E278" s="169" t="s">
        <v>331</v>
      </c>
      <c r="F278" s="170" t="s">
        <v>332</v>
      </c>
      <c r="G278" s="171" t="s">
        <v>111</v>
      </c>
      <c r="H278" s="288">
        <f>H282</f>
        <v>2</v>
      </c>
      <c r="I278" s="172">
        <v>0</v>
      </c>
      <c r="J278" s="172">
        <f>ROUND(I278*H278,2)</f>
        <v>0</v>
      </c>
      <c r="K278" s="173"/>
      <c r="L278" s="174"/>
      <c r="M278" s="175" t="s">
        <v>1</v>
      </c>
      <c r="N278" s="176" t="s">
        <v>33</v>
      </c>
      <c r="O278" s="177">
        <v>0.227</v>
      </c>
      <c r="P278" s="177">
        <f>O278*H278</f>
        <v>0.454</v>
      </c>
      <c r="Q278" s="177">
        <v>2E-05</v>
      </c>
      <c r="R278" s="177">
        <f>Q278*H278</f>
        <v>4E-05</v>
      </c>
      <c r="S278" s="177">
        <v>0</v>
      </c>
      <c r="T278" s="178">
        <f>S278*H278</f>
        <v>0</v>
      </c>
      <c r="AR278" s="179" t="s">
        <v>114</v>
      </c>
      <c r="AT278" s="179" t="s">
        <v>105</v>
      </c>
      <c r="AU278" s="179" t="s">
        <v>75</v>
      </c>
      <c r="AY278" s="180" t="s">
        <v>104</v>
      </c>
      <c r="BE278" s="181">
        <f>IF(N278="základní",J278,0)</f>
        <v>0</v>
      </c>
      <c r="BF278" s="181">
        <f>IF(N278="snížená",J278,0)</f>
        <v>0</v>
      </c>
      <c r="BG278" s="181">
        <f>IF(N278="zákl. přenesená",J278,0)</f>
        <v>0</v>
      </c>
      <c r="BH278" s="181">
        <f>IF(N278="sníž. přenesená",J278,0)</f>
        <v>0</v>
      </c>
      <c r="BI278" s="181">
        <f>IF(N278="nulová",J278,0)</f>
        <v>0</v>
      </c>
      <c r="BJ278" s="180" t="s">
        <v>73</v>
      </c>
      <c r="BK278" s="181">
        <f t="shared" si="75"/>
        <v>0</v>
      </c>
      <c r="BL278" s="180" t="s">
        <v>114</v>
      </c>
      <c r="BM278" s="179" t="s">
        <v>337</v>
      </c>
    </row>
    <row r="279" spans="2:63" s="166" customFormat="1" ht="19.5">
      <c r="B279" s="167"/>
      <c r="C279" s="182"/>
      <c r="D279" s="183" t="s">
        <v>107</v>
      </c>
      <c r="E279" s="182"/>
      <c r="F279" s="184" t="s">
        <v>333</v>
      </c>
      <c r="G279" s="182"/>
      <c r="H279" s="289"/>
      <c r="I279" s="182"/>
      <c r="J279" s="182"/>
      <c r="K279" s="182"/>
      <c r="L279" s="174"/>
      <c r="M279" s="185"/>
      <c r="N279" s="186"/>
      <c r="O279" s="186"/>
      <c r="P279" s="186"/>
      <c r="Q279" s="186"/>
      <c r="R279" s="186"/>
      <c r="S279" s="186"/>
      <c r="T279" s="187"/>
      <c r="AT279" s="180" t="s">
        <v>107</v>
      </c>
      <c r="AU279" s="180" t="s">
        <v>75</v>
      </c>
      <c r="BK279" s="181">
        <f t="shared" si="75"/>
        <v>0</v>
      </c>
    </row>
    <row r="280" spans="2:65" s="166" customFormat="1" ht="24">
      <c r="B280" s="167"/>
      <c r="C280" s="168">
        <f>C278+1</f>
        <v>98</v>
      </c>
      <c r="D280" s="168" t="s">
        <v>105</v>
      </c>
      <c r="E280" s="169" t="s">
        <v>338</v>
      </c>
      <c r="F280" s="170" t="s">
        <v>339</v>
      </c>
      <c r="G280" s="171" t="s">
        <v>111</v>
      </c>
      <c r="H280" s="288">
        <f>H278*2</f>
        <v>4</v>
      </c>
      <c r="I280" s="172">
        <v>0</v>
      </c>
      <c r="J280" s="172">
        <f>ROUND(I280*H280,2)</f>
        <v>0</v>
      </c>
      <c r="K280" s="173"/>
      <c r="L280" s="174"/>
      <c r="M280" s="175" t="s">
        <v>1</v>
      </c>
      <c r="N280" s="176" t="s">
        <v>33</v>
      </c>
      <c r="O280" s="177">
        <v>0.142</v>
      </c>
      <c r="P280" s="177">
        <f>O280*H280</f>
        <v>0.568</v>
      </c>
      <c r="Q280" s="177">
        <v>0.00018</v>
      </c>
      <c r="R280" s="177">
        <f>Q280*H280</f>
        <v>0.00072</v>
      </c>
      <c r="S280" s="177">
        <v>0</v>
      </c>
      <c r="T280" s="178">
        <f>S280*H280</f>
        <v>0</v>
      </c>
      <c r="AR280" s="179" t="s">
        <v>114</v>
      </c>
      <c r="AT280" s="179" t="s">
        <v>105</v>
      </c>
      <c r="AU280" s="179" t="s">
        <v>75</v>
      </c>
      <c r="AY280" s="180" t="s">
        <v>104</v>
      </c>
      <c r="BE280" s="181">
        <f>IF(N280="základní",J280,0)</f>
        <v>0</v>
      </c>
      <c r="BF280" s="181">
        <f>IF(N280="snížená",J280,0)</f>
        <v>0</v>
      </c>
      <c r="BG280" s="181">
        <f>IF(N280="zákl. přenesená",J280,0)</f>
        <v>0</v>
      </c>
      <c r="BH280" s="181">
        <f>IF(N280="sníž. přenesená",J280,0)</f>
        <v>0</v>
      </c>
      <c r="BI280" s="181">
        <f>IF(N280="nulová",J280,0)</f>
        <v>0</v>
      </c>
      <c r="BJ280" s="180" t="s">
        <v>73</v>
      </c>
      <c r="BK280" s="181">
        <f t="shared" si="75"/>
        <v>0</v>
      </c>
      <c r="BL280" s="180" t="s">
        <v>114</v>
      </c>
      <c r="BM280" s="179" t="s">
        <v>340</v>
      </c>
    </row>
    <row r="281" spans="2:63" s="166" customFormat="1" ht="19.5">
      <c r="B281" s="167"/>
      <c r="C281" s="182"/>
      <c r="D281" s="183" t="s">
        <v>107</v>
      </c>
      <c r="E281" s="182"/>
      <c r="F281" s="184" t="s">
        <v>341</v>
      </c>
      <c r="G281" s="182"/>
      <c r="H281" s="289"/>
      <c r="I281" s="182"/>
      <c r="J281" s="182"/>
      <c r="K281" s="182"/>
      <c r="L281" s="174"/>
      <c r="M281" s="185"/>
      <c r="N281" s="186"/>
      <c r="O281" s="186"/>
      <c r="P281" s="186"/>
      <c r="Q281" s="186"/>
      <c r="R281" s="186"/>
      <c r="S281" s="186"/>
      <c r="T281" s="187"/>
      <c r="AT281" s="180" t="s">
        <v>107</v>
      </c>
      <c r="AU281" s="180" t="s">
        <v>75</v>
      </c>
      <c r="BK281" s="181">
        <f t="shared" si="75"/>
        <v>0</v>
      </c>
    </row>
    <row r="282" spans="2:65" s="166" customFormat="1" ht="12">
      <c r="B282" s="167"/>
      <c r="C282" s="168">
        <f>C280+1</f>
        <v>99</v>
      </c>
      <c r="D282" s="168" t="s">
        <v>105</v>
      </c>
      <c r="E282" s="169" t="s">
        <v>334</v>
      </c>
      <c r="F282" s="170" t="s">
        <v>335</v>
      </c>
      <c r="G282" s="171" t="s">
        <v>111</v>
      </c>
      <c r="H282" s="288">
        <v>2</v>
      </c>
      <c r="I282" s="172">
        <v>0</v>
      </c>
      <c r="J282" s="172">
        <f>ROUND(I282*H282,2)</f>
        <v>0</v>
      </c>
      <c r="K282" s="173"/>
      <c r="L282" s="174"/>
      <c r="M282" s="175" t="s">
        <v>1</v>
      </c>
      <c r="N282" s="176" t="s">
        <v>33</v>
      </c>
      <c r="O282" s="177">
        <v>0.22</v>
      </c>
      <c r="P282" s="177">
        <f>O282*H282</f>
        <v>0.44</v>
      </c>
      <c r="Q282" s="177">
        <v>0.0005</v>
      </c>
      <c r="R282" s="177">
        <f>Q282*H282</f>
        <v>0.001</v>
      </c>
      <c r="S282" s="177">
        <v>0</v>
      </c>
      <c r="T282" s="178">
        <f>S282*H282</f>
        <v>0</v>
      </c>
      <c r="AR282" s="179" t="s">
        <v>114</v>
      </c>
      <c r="AT282" s="179" t="s">
        <v>105</v>
      </c>
      <c r="AU282" s="179" t="s">
        <v>75</v>
      </c>
      <c r="AY282" s="180" t="s">
        <v>104</v>
      </c>
      <c r="BE282" s="181">
        <f>IF(N282="základní",J282,0)</f>
        <v>0</v>
      </c>
      <c r="BF282" s="181">
        <f>IF(N282="snížená",J282,0)</f>
        <v>0</v>
      </c>
      <c r="BG282" s="181">
        <f>IF(N282="zákl. přenesená",J282,0)</f>
        <v>0</v>
      </c>
      <c r="BH282" s="181">
        <f>IF(N282="sníž. přenesená",J282,0)</f>
        <v>0</v>
      </c>
      <c r="BI282" s="181">
        <f>IF(N282="nulová",J282,0)</f>
        <v>0</v>
      </c>
      <c r="BJ282" s="180" t="s">
        <v>73</v>
      </c>
      <c r="BK282" s="181">
        <f t="shared" si="75"/>
        <v>0</v>
      </c>
      <c r="BL282" s="180" t="s">
        <v>114</v>
      </c>
      <c r="BM282" s="179" t="s">
        <v>342</v>
      </c>
    </row>
    <row r="283" spans="2:63" s="166" customFormat="1" ht="12">
      <c r="B283" s="167"/>
      <c r="C283" s="182"/>
      <c r="D283" s="183" t="s">
        <v>107</v>
      </c>
      <c r="E283" s="182"/>
      <c r="F283" s="184" t="s">
        <v>336</v>
      </c>
      <c r="G283" s="182"/>
      <c r="H283" s="289"/>
      <c r="I283" s="182"/>
      <c r="J283" s="182"/>
      <c r="K283" s="182"/>
      <c r="L283" s="174"/>
      <c r="M283" s="185"/>
      <c r="N283" s="186"/>
      <c r="O283" s="186"/>
      <c r="P283" s="186"/>
      <c r="Q283" s="186"/>
      <c r="R283" s="186"/>
      <c r="S283" s="186"/>
      <c r="T283" s="187"/>
      <c r="AT283" s="180" t="s">
        <v>107</v>
      </c>
      <c r="AU283" s="180" t="s">
        <v>75</v>
      </c>
      <c r="BK283" s="181">
        <f t="shared" si="75"/>
        <v>0</v>
      </c>
    </row>
    <row r="284" spans="2:65" s="166" customFormat="1" ht="12">
      <c r="B284" s="167"/>
      <c r="C284" s="168">
        <f>C282+1</f>
        <v>100</v>
      </c>
      <c r="D284" s="168" t="s">
        <v>105</v>
      </c>
      <c r="E284" s="169" t="s">
        <v>343</v>
      </c>
      <c r="F284" s="170" t="s">
        <v>344</v>
      </c>
      <c r="G284" s="171" t="s">
        <v>111</v>
      </c>
      <c r="H284" s="288">
        <f>H288</f>
        <v>7</v>
      </c>
      <c r="I284" s="172">
        <v>0</v>
      </c>
      <c r="J284" s="172">
        <f>ROUND(I284*H284,2)</f>
        <v>0</v>
      </c>
      <c r="K284" s="173"/>
      <c r="L284" s="174"/>
      <c r="M284" s="175" t="s">
        <v>1</v>
      </c>
      <c r="N284" s="176" t="s">
        <v>33</v>
      </c>
      <c r="O284" s="177">
        <v>0.269</v>
      </c>
      <c r="P284" s="177">
        <f>O284*H284</f>
        <v>1.883</v>
      </c>
      <c r="Q284" s="177">
        <v>2E-05</v>
      </c>
      <c r="R284" s="177">
        <f>Q284*H284</f>
        <v>0.00014000000000000001</v>
      </c>
      <c r="S284" s="177">
        <v>0</v>
      </c>
      <c r="T284" s="178">
        <f>S284*H284</f>
        <v>0</v>
      </c>
      <c r="AR284" s="179" t="s">
        <v>114</v>
      </c>
      <c r="AT284" s="179" t="s">
        <v>105</v>
      </c>
      <c r="AU284" s="179" t="s">
        <v>75</v>
      </c>
      <c r="AY284" s="180" t="s">
        <v>104</v>
      </c>
      <c r="BE284" s="181">
        <f>IF(N284="základní",J284,0)</f>
        <v>0</v>
      </c>
      <c r="BF284" s="181">
        <f>IF(N284="snížená",J284,0)</f>
        <v>0</v>
      </c>
      <c r="BG284" s="181">
        <f>IF(N284="zákl. přenesená",J284,0)</f>
        <v>0</v>
      </c>
      <c r="BH284" s="181">
        <f>IF(N284="sníž. přenesená",J284,0)</f>
        <v>0</v>
      </c>
      <c r="BI284" s="181">
        <f>IF(N284="nulová",J284,0)</f>
        <v>0</v>
      </c>
      <c r="BJ284" s="180" t="s">
        <v>73</v>
      </c>
      <c r="BK284" s="181">
        <f t="shared" si="75"/>
        <v>0</v>
      </c>
      <c r="BL284" s="180" t="s">
        <v>114</v>
      </c>
      <c r="BM284" s="179" t="s">
        <v>345</v>
      </c>
    </row>
    <row r="285" spans="2:63" s="166" customFormat="1" ht="19.5">
      <c r="B285" s="167"/>
      <c r="C285" s="182"/>
      <c r="D285" s="183" t="s">
        <v>107</v>
      </c>
      <c r="E285" s="182"/>
      <c r="F285" s="184" t="s">
        <v>346</v>
      </c>
      <c r="G285" s="182"/>
      <c r="H285" s="289"/>
      <c r="I285" s="182"/>
      <c r="J285" s="182"/>
      <c r="K285" s="182"/>
      <c r="L285" s="174"/>
      <c r="M285" s="185"/>
      <c r="N285" s="186"/>
      <c r="O285" s="186"/>
      <c r="P285" s="186"/>
      <c r="Q285" s="186"/>
      <c r="R285" s="186"/>
      <c r="S285" s="186"/>
      <c r="T285" s="187"/>
      <c r="AT285" s="180" t="s">
        <v>107</v>
      </c>
      <c r="AU285" s="180" t="s">
        <v>75</v>
      </c>
      <c r="BK285" s="181">
        <f t="shared" si="75"/>
        <v>0</v>
      </c>
    </row>
    <row r="286" spans="2:65" s="166" customFormat="1" ht="24">
      <c r="B286" s="167"/>
      <c r="C286" s="168">
        <f>C284+1</f>
        <v>101</v>
      </c>
      <c r="D286" s="168" t="s">
        <v>105</v>
      </c>
      <c r="E286" s="169" t="s">
        <v>347</v>
      </c>
      <c r="F286" s="170" t="s">
        <v>348</v>
      </c>
      <c r="G286" s="171" t="s">
        <v>111</v>
      </c>
      <c r="H286" s="288">
        <f>H284*2</f>
        <v>14</v>
      </c>
      <c r="I286" s="172">
        <v>0</v>
      </c>
      <c r="J286" s="172">
        <f>ROUND(I286*H286,2)</f>
        <v>0</v>
      </c>
      <c r="K286" s="173"/>
      <c r="L286" s="174"/>
      <c r="M286" s="175" t="s">
        <v>1</v>
      </c>
      <c r="N286" s="176" t="s">
        <v>33</v>
      </c>
      <c r="O286" s="177">
        <v>0.163</v>
      </c>
      <c r="P286" s="177">
        <f>O286*H286</f>
        <v>2.282</v>
      </c>
      <c r="Q286" s="177">
        <v>0.0003</v>
      </c>
      <c r="R286" s="177">
        <f>Q286*H286</f>
        <v>0.0042</v>
      </c>
      <c r="S286" s="177">
        <v>0</v>
      </c>
      <c r="T286" s="178">
        <f>S286*H286</f>
        <v>0</v>
      </c>
      <c r="AR286" s="179" t="s">
        <v>114</v>
      </c>
      <c r="AT286" s="179" t="s">
        <v>105</v>
      </c>
      <c r="AU286" s="179" t="s">
        <v>75</v>
      </c>
      <c r="AY286" s="180" t="s">
        <v>104</v>
      </c>
      <c r="BE286" s="181">
        <f>IF(N286="základní",J286,0)</f>
        <v>0</v>
      </c>
      <c r="BF286" s="181">
        <f>IF(N286="snížená",J286,0)</f>
        <v>0</v>
      </c>
      <c r="BG286" s="181">
        <f>IF(N286="zákl. přenesená",J286,0)</f>
        <v>0</v>
      </c>
      <c r="BH286" s="181">
        <f>IF(N286="sníž. přenesená",J286,0)</f>
        <v>0</v>
      </c>
      <c r="BI286" s="181">
        <f>IF(N286="nulová",J286,0)</f>
        <v>0</v>
      </c>
      <c r="BJ286" s="180" t="s">
        <v>73</v>
      </c>
      <c r="BK286" s="181">
        <f t="shared" si="75"/>
        <v>0</v>
      </c>
      <c r="BL286" s="180" t="s">
        <v>114</v>
      </c>
      <c r="BM286" s="179" t="s">
        <v>349</v>
      </c>
    </row>
    <row r="287" spans="2:63" s="166" customFormat="1" ht="19.5">
      <c r="B287" s="167"/>
      <c r="C287" s="182"/>
      <c r="D287" s="183" t="s">
        <v>107</v>
      </c>
      <c r="E287" s="182"/>
      <c r="F287" s="184" t="s">
        <v>350</v>
      </c>
      <c r="G287" s="182"/>
      <c r="H287" s="289"/>
      <c r="I287" s="182"/>
      <c r="J287" s="182"/>
      <c r="K287" s="182"/>
      <c r="L287" s="174"/>
      <c r="M287" s="185"/>
      <c r="N287" s="186"/>
      <c r="O287" s="186"/>
      <c r="P287" s="186"/>
      <c r="Q287" s="186"/>
      <c r="R287" s="186"/>
      <c r="S287" s="186"/>
      <c r="T287" s="187"/>
      <c r="AT287" s="180" t="s">
        <v>107</v>
      </c>
      <c r="AU287" s="180" t="s">
        <v>75</v>
      </c>
      <c r="BK287" s="181">
        <f t="shared" si="75"/>
        <v>0</v>
      </c>
    </row>
    <row r="288" spans="2:65" s="166" customFormat="1" ht="24">
      <c r="B288" s="167"/>
      <c r="C288" s="168">
        <f>C286+1</f>
        <v>102</v>
      </c>
      <c r="D288" s="168" t="s">
        <v>105</v>
      </c>
      <c r="E288" s="169" t="s">
        <v>351</v>
      </c>
      <c r="F288" s="170" t="s">
        <v>352</v>
      </c>
      <c r="G288" s="171" t="s">
        <v>111</v>
      </c>
      <c r="H288" s="288">
        <v>7</v>
      </c>
      <c r="I288" s="172">
        <v>0</v>
      </c>
      <c r="J288" s="172">
        <f>ROUND(I288*H288,2)</f>
        <v>0</v>
      </c>
      <c r="K288" s="173"/>
      <c r="L288" s="174"/>
      <c r="M288" s="175" t="s">
        <v>1</v>
      </c>
      <c r="N288" s="176" t="s">
        <v>33</v>
      </c>
      <c r="O288" s="177">
        <v>0.26</v>
      </c>
      <c r="P288" s="177">
        <f>O288*H288</f>
        <v>1.82</v>
      </c>
      <c r="Q288" s="177">
        <v>0.0008</v>
      </c>
      <c r="R288" s="177">
        <f>Q288*H288</f>
        <v>0.0056</v>
      </c>
      <c r="S288" s="177">
        <v>0</v>
      </c>
      <c r="T288" s="178">
        <f>S288*H288</f>
        <v>0</v>
      </c>
      <c r="AR288" s="179" t="s">
        <v>114</v>
      </c>
      <c r="AT288" s="179" t="s">
        <v>105</v>
      </c>
      <c r="AU288" s="179" t="s">
        <v>75</v>
      </c>
      <c r="AY288" s="180" t="s">
        <v>104</v>
      </c>
      <c r="BE288" s="181">
        <f>IF(N288="základní",J288,0)</f>
        <v>0</v>
      </c>
      <c r="BF288" s="181">
        <f>IF(N288="snížená",J288,0)</f>
        <v>0</v>
      </c>
      <c r="BG288" s="181">
        <f>IF(N288="zákl. přenesená",J288,0)</f>
        <v>0</v>
      </c>
      <c r="BH288" s="181">
        <f>IF(N288="sníž. přenesená",J288,0)</f>
        <v>0</v>
      </c>
      <c r="BI288" s="181">
        <f>IF(N288="nulová",J288,0)</f>
        <v>0</v>
      </c>
      <c r="BJ288" s="180" t="s">
        <v>73</v>
      </c>
      <c r="BK288" s="181">
        <f t="shared" si="75"/>
        <v>0</v>
      </c>
      <c r="BL288" s="180" t="s">
        <v>114</v>
      </c>
      <c r="BM288" s="179" t="s">
        <v>353</v>
      </c>
    </row>
    <row r="289" spans="2:63" s="166" customFormat="1" ht="19.5">
      <c r="B289" s="167"/>
      <c r="C289" s="182"/>
      <c r="D289" s="183" t="s">
        <v>107</v>
      </c>
      <c r="E289" s="182"/>
      <c r="F289" s="184" t="s">
        <v>354</v>
      </c>
      <c r="G289" s="182"/>
      <c r="H289" s="289"/>
      <c r="I289" s="182"/>
      <c r="J289" s="182"/>
      <c r="K289" s="182"/>
      <c r="L289" s="174"/>
      <c r="M289" s="185"/>
      <c r="N289" s="186"/>
      <c r="O289" s="186"/>
      <c r="P289" s="186"/>
      <c r="Q289" s="186"/>
      <c r="R289" s="186"/>
      <c r="S289" s="186"/>
      <c r="T289" s="187"/>
      <c r="AT289" s="180" t="s">
        <v>107</v>
      </c>
      <c r="AU289" s="180" t="s">
        <v>75</v>
      </c>
      <c r="BK289" s="181">
        <f t="shared" si="75"/>
        <v>0</v>
      </c>
    </row>
    <row r="290" spans="2:65" s="166" customFormat="1" ht="12">
      <c r="B290" s="167"/>
      <c r="C290" s="168">
        <f>C288+1</f>
        <v>103</v>
      </c>
      <c r="D290" s="168" t="s">
        <v>105</v>
      </c>
      <c r="E290" s="169" t="s">
        <v>357</v>
      </c>
      <c r="F290" s="170" t="s">
        <v>358</v>
      </c>
      <c r="G290" s="171" t="s">
        <v>111</v>
      </c>
      <c r="H290" s="288">
        <f>4-1</f>
        <v>3</v>
      </c>
      <c r="I290" s="172">
        <v>0</v>
      </c>
      <c r="J290" s="172">
        <f>ROUND(I290*H290,2)</f>
        <v>0</v>
      </c>
      <c r="K290" s="173"/>
      <c r="L290" s="174"/>
      <c r="M290" s="175" t="s">
        <v>1</v>
      </c>
      <c r="N290" s="176" t="s">
        <v>33</v>
      </c>
      <c r="O290" s="177">
        <v>0.269</v>
      </c>
      <c r="P290" s="177">
        <f>O290*H290</f>
        <v>0.807</v>
      </c>
      <c r="Q290" s="177">
        <v>0.00091</v>
      </c>
      <c r="R290" s="177">
        <f>Q290*H290</f>
        <v>0.00273</v>
      </c>
      <c r="S290" s="177">
        <v>0</v>
      </c>
      <c r="T290" s="178">
        <f>S290*H290</f>
        <v>0</v>
      </c>
      <c r="AR290" s="179" t="s">
        <v>114</v>
      </c>
      <c r="AT290" s="179" t="s">
        <v>105</v>
      </c>
      <c r="AU290" s="179" t="s">
        <v>75</v>
      </c>
      <c r="AY290" s="180" t="s">
        <v>104</v>
      </c>
      <c r="BE290" s="181">
        <f>IF(N290="základní",J290,0)</f>
        <v>0</v>
      </c>
      <c r="BF290" s="181">
        <f>IF(N290="snížená",J290,0)</f>
        <v>0</v>
      </c>
      <c r="BG290" s="181">
        <f>IF(N290="zákl. přenesená",J290,0)</f>
        <v>0</v>
      </c>
      <c r="BH290" s="181">
        <f>IF(N290="sníž. přenesená",J290,0)</f>
        <v>0</v>
      </c>
      <c r="BI290" s="181">
        <f>IF(N290="nulová",J290,0)</f>
        <v>0</v>
      </c>
      <c r="BJ290" s="180" t="s">
        <v>73</v>
      </c>
      <c r="BK290" s="181">
        <f t="shared" si="75"/>
        <v>0</v>
      </c>
      <c r="BL290" s="180" t="s">
        <v>114</v>
      </c>
      <c r="BM290" s="179" t="s">
        <v>355</v>
      </c>
    </row>
    <row r="291" spans="2:63" s="166" customFormat="1" ht="19.5">
      <c r="B291" s="167"/>
      <c r="C291" s="182"/>
      <c r="D291" s="183" t="s">
        <v>107</v>
      </c>
      <c r="E291" s="182"/>
      <c r="F291" s="184" t="s">
        <v>360</v>
      </c>
      <c r="G291" s="182"/>
      <c r="H291" s="289"/>
      <c r="I291" s="182"/>
      <c r="J291" s="182"/>
      <c r="K291" s="182"/>
      <c r="L291" s="174"/>
      <c r="M291" s="185"/>
      <c r="N291" s="186"/>
      <c r="O291" s="186"/>
      <c r="P291" s="186"/>
      <c r="Q291" s="186"/>
      <c r="R291" s="186"/>
      <c r="S291" s="186"/>
      <c r="T291" s="187"/>
      <c r="AT291" s="180" t="s">
        <v>107</v>
      </c>
      <c r="AU291" s="180" t="s">
        <v>75</v>
      </c>
      <c r="BK291" s="181">
        <f t="shared" si="75"/>
        <v>0</v>
      </c>
    </row>
    <row r="292" spans="2:65" s="166" customFormat="1" ht="24">
      <c r="B292" s="167"/>
      <c r="C292" s="168">
        <f>C290+1</f>
        <v>104</v>
      </c>
      <c r="D292" s="168" t="s">
        <v>105</v>
      </c>
      <c r="E292" s="169" t="s">
        <v>361</v>
      </c>
      <c r="F292" s="170" t="s">
        <v>362</v>
      </c>
      <c r="G292" s="171" t="s">
        <v>111</v>
      </c>
      <c r="H292" s="288">
        <f>H290*2</f>
        <v>6</v>
      </c>
      <c r="I292" s="172">
        <v>0</v>
      </c>
      <c r="J292" s="172">
        <f>ROUND(I292*H292,2)</f>
        <v>0</v>
      </c>
      <c r="K292" s="173"/>
      <c r="L292" s="174"/>
      <c r="M292" s="175" t="s">
        <v>1</v>
      </c>
      <c r="N292" s="176" t="s">
        <v>33</v>
      </c>
      <c r="O292" s="177">
        <v>0.269</v>
      </c>
      <c r="P292" s="177">
        <f>O292*H292</f>
        <v>1.614</v>
      </c>
      <c r="Q292" s="177">
        <v>0.00091</v>
      </c>
      <c r="R292" s="177">
        <f>Q292*H292</f>
        <v>0.00546</v>
      </c>
      <c r="S292" s="177">
        <v>0</v>
      </c>
      <c r="T292" s="178">
        <f>S292*H292</f>
        <v>0</v>
      </c>
      <c r="AR292" s="179" t="s">
        <v>114</v>
      </c>
      <c r="AT292" s="179" t="s">
        <v>105</v>
      </c>
      <c r="AU292" s="179" t="s">
        <v>75</v>
      </c>
      <c r="AY292" s="180" t="s">
        <v>104</v>
      </c>
      <c r="BE292" s="181">
        <f>IF(N292="základní",J292,0)</f>
        <v>0</v>
      </c>
      <c r="BF292" s="181">
        <f>IF(N292="snížená",J292,0)</f>
        <v>0</v>
      </c>
      <c r="BG292" s="181">
        <f>IF(N292="zákl. přenesená",J292,0)</f>
        <v>0</v>
      </c>
      <c r="BH292" s="181">
        <f>IF(N292="sníž. přenesená",J292,0)</f>
        <v>0</v>
      </c>
      <c r="BI292" s="181">
        <f>IF(N292="nulová",J292,0)</f>
        <v>0</v>
      </c>
      <c r="BJ292" s="180" t="s">
        <v>73</v>
      </c>
      <c r="BK292" s="181">
        <f t="shared" si="75"/>
        <v>0</v>
      </c>
      <c r="BL292" s="180" t="s">
        <v>114</v>
      </c>
      <c r="BM292" s="179" t="s">
        <v>356</v>
      </c>
    </row>
    <row r="293" spans="2:63" s="166" customFormat="1" ht="19.5">
      <c r="B293" s="167"/>
      <c r="C293" s="182"/>
      <c r="D293" s="183" t="s">
        <v>107</v>
      </c>
      <c r="E293" s="182"/>
      <c r="F293" s="184" t="s">
        <v>364</v>
      </c>
      <c r="G293" s="182"/>
      <c r="H293" s="289"/>
      <c r="I293" s="182"/>
      <c r="J293" s="182"/>
      <c r="K293" s="182"/>
      <c r="L293" s="174"/>
      <c r="M293" s="185"/>
      <c r="N293" s="186"/>
      <c r="O293" s="186"/>
      <c r="P293" s="186"/>
      <c r="Q293" s="186"/>
      <c r="R293" s="186"/>
      <c r="S293" s="186"/>
      <c r="T293" s="187"/>
      <c r="AT293" s="180" t="s">
        <v>107</v>
      </c>
      <c r="AU293" s="180" t="s">
        <v>75</v>
      </c>
      <c r="BK293" s="181">
        <f t="shared" si="75"/>
        <v>0</v>
      </c>
    </row>
    <row r="294" spans="2:65" s="166" customFormat="1" ht="24">
      <c r="B294" s="167"/>
      <c r="C294" s="168">
        <f>C292+1</f>
        <v>105</v>
      </c>
      <c r="D294" s="168" t="s">
        <v>105</v>
      </c>
      <c r="E294" s="169" t="s">
        <v>365</v>
      </c>
      <c r="F294" s="170" t="s">
        <v>366</v>
      </c>
      <c r="G294" s="171" t="s">
        <v>111</v>
      </c>
      <c r="H294" s="288">
        <f>H290</f>
        <v>3</v>
      </c>
      <c r="I294" s="172">
        <v>0</v>
      </c>
      <c r="J294" s="172">
        <f>ROUND(I294*H294,2)</f>
        <v>0</v>
      </c>
      <c r="K294" s="173"/>
      <c r="L294" s="174"/>
      <c r="M294" s="175" t="s">
        <v>1</v>
      </c>
      <c r="N294" s="176" t="s">
        <v>33</v>
      </c>
      <c r="O294" s="177">
        <v>0.351</v>
      </c>
      <c r="P294" s="177">
        <f>O294*H294</f>
        <v>1.053</v>
      </c>
      <c r="Q294" s="177">
        <v>2E-05</v>
      </c>
      <c r="R294" s="177">
        <f>Q294*H294</f>
        <v>6.000000000000001E-05</v>
      </c>
      <c r="S294" s="177">
        <v>0</v>
      </c>
      <c r="T294" s="178">
        <f>S294*H294</f>
        <v>0</v>
      </c>
      <c r="AR294" s="179" t="s">
        <v>114</v>
      </c>
      <c r="AT294" s="179" t="s">
        <v>105</v>
      </c>
      <c r="AU294" s="179" t="s">
        <v>75</v>
      </c>
      <c r="AY294" s="180" t="s">
        <v>104</v>
      </c>
      <c r="BE294" s="181">
        <f>IF(N294="základní",J294,0)</f>
        <v>0</v>
      </c>
      <c r="BF294" s="181">
        <f>IF(N294="snížená",J294,0)</f>
        <v>0</v>
      </c>
      <c r="BG294" s="181">
        <f>IF(N294="zákl. přenesená",J294,0)</f>
        <v>0</v>
      </c>
      <c r="BH294" s="181">
        <f>IF(N294="sníž. přenesená",J294,0)</f>
        <v>0</v>
      </c>
      <c r="BI294" s="181">
        <f>IF(N294="nulová",J294,0)</f>
        <v>0</v>
      </c>
      <c r="BJ294" s="180" t="s">
        <v>73</v>
      </c>
      <c r="BK294" s="181">
        <f t="shared" si="75"/>
        <v>0</v>
      </c>
      <c r="BL294" s="180" t="s">
        <v>114</v>
      </c>
      <c r="BM294" s="179" t="s">
        <v>359</v>
      </c>
    </row>
    <row r="295" spans="2:63" s="166" customFormat="1" ht="19.5">
      <c r="B295" s="167"/>
      <c r="C295" s="182"/>
      <c r="D295" s="183" t="s">
        <v>107</v>
      </c>
      <c r="E295" s="182"/>
      <c r="F295" s="184" t="s">
        <v>368</v>
      </c>
      <c r="G295" s="182"/>
      <c r="H295" s="289"/>
      <c r="I295" s="182"/>
      <c r="J295" s="182"/>
      <c r="K295" s="182"/>
      <c r="L295" s="174"/>
      <c r="M295" s="185"/>
      <c r="N295" s="186"/>
      <c r="O295" s="186"/>
      <c r="P295" s="186"/>
      <c r="Q295" s="186"/>
      <c r="R295" s="186"/>
      <c r="S295" s="186"/>
      <c r="T295" s="187"/>
      <c r="AT295" s="180" t="s">
        <v>107</v>
      </c>
      <c r="AU295" s="180" t="s">
        <v>75</v>
      </c>
      <c r="BK295" s="181">
        <f t="shared" si="75"/>
        <v>0</v>
      </c>
    </row>
    <row r="296" spans="2:65" s="166" customFormat="1" ht="12">
      <c r="B296" s="167"/>
      <c r="C296" s="168">
        <f>C294+1</f>
        <v>106</v>
      </c>
      <c r="D296" s="168" t="s">
        <v>105</v>
      </c>
      <c r="E296" s="169" t="s">
        <v>369</v>
      </c>
      <c r="F296" s="170" t="s">
        <v>370</v>
      </c>
      <c r="G296" s="171" t="s">
        <v>111</v>
      </c>
      <c r="H296" s="288">
        <f>H303+H302+H300</f>
        <v>5</v>
      </c>
      <c r="I296" s="172">
        <v>0</v>
      </c>
      <c r="J296" s="172">
        <f>ROUND(I296*H296,2)</f>
        <v>0</v>
      </c>
      <c r="K296" s="173"/>
      <c r="L296" s="174"/>
      <c r="M296" s="175" t="s">
        <v>1</v>
      </c>
      <c r="N296" s="176" t="s">
        <v>33</v>
      </c>
      <c r="O296" s="177">
        <v>0.174</v>
      </c>
      <c r="P296" s="177">
        <f>O296*H296</f>
        <v>0.8699999999999999</v>
      </c>
      <c r="Q296" s="177">
        <v>0.00036</v>
      </c>
      <c r="R296" s="177">
        <f>Q296*H296</f>
        <v>0.0018000000000000002</v>
      </c>
      <c r="S296" s="177">
        <v>0</v>
      </c>
      <c r="T296" s="178">
        <f>S296*H296</f>
        <v>0</v>
      </c>
      <c r="AR296" s="179" t="s">
        <v>114</v>
      </c>
      <c r="AT296" s="179" t="s">
        <v>105</v>
      </c>
      <c r="AU296" s="179" t="s">
        <v>75</v>
      </c>
      <c r="AY296" s="180" t="s">
        <v>104</v>
      </c>
      <c r="BE296" s="181">
        <f>IF(N296="základní",J296,0)</f>
        <v>0</v>
      </c>
      <c r="BF296" s="181">
        <f>IF(N296="snížená",J296,0)</f>
        <v>0</v>
      </c>
      <c r="BG296" s="181">
        <f>IF(N296="zákl. přenesená",J296,0)</f>
        <v>0</v>
      </c>
      <c r="BH296" s="181">
        <f>IF(N296="sníž. přenesená",J296,0)</f>
        <v>0</v>
      </c>
      <c r="BI296" s="181">
        <f>IF(N296="nulová",J296,0)</f>
        <v>0</v>
      </c>
      <c r="BJ296" s="180" t="s">
        <v>73</v>
      </c>
      <c r="BK296" s="181">
        <f aca="true" t="shared" si="88" ref="BK296:BK335">ROUND(I296*H296,2)</f>
        <v>0</v>
      </c>
      <c r="BL296" s="180" t="s">
        <v>114</v>
      </c>
      <c r="BM296" s="179" t="s">
        <v>363</v>
      </c>
    </row>
    <row r="297" spans="2:63" s="166" customFormat="1" ht="19.5">
      <c r="B297" s="167"/>
      <c r="C297" s="182"/>
      <c r="D297" s="183" t="s">
        <v>107</v>
      </c>
      <c r="E297" s="182"/>
      <c r="F297" s="184" t="s">
        <v>372</v>
      </c>
      <c r="G297" s="182"/>
      <c r="H297" s="289"/>
      <c r="I297" s="182"/>
      <c r="J297" s="182"/>
      <c r="K297" s="182"/>
      <c r="L297" s="174"/>
      <c r="M297" s="185"/>
      <c r="N297" s="186"/>
      <c r="O297" s="186"/>
      <c r="P297" s="186"/>
      <c r="Q297" s="186"/>
      <c r="R297" s="186"/>
      <c r="S297" s="186"/>
      <c r="T297" s="187"/>
      <c r="AT297" s="180" t="s">
        <v>107</v>
      </c>
      <c r="AU297" s="180" t="s">
        <v>75</v>
      </c>
      <c r="BK297" s="181">
        <f t="shared" si="88"/>
        <v>0</v>
      </c>
    </row>
    <row r="298" spans="2:65" s="166" customFormat="1" ht="24">
      <c r="B298" s="167"/>
      <c r="C298" s="168">
        <f>C296+1</f>
        <v>107</v>
      </c>
      <c r="D298" s="168" t="s">
        <v>105</v>
      </c>
      <c r="E298" s="169" t="s">
        <v>373</v>
      </c>
      <c r="F298" s="170" t="s">
        <v>374</v>
      </c>
      <c r="G298" s="171" t="s">
        <v>111</v>
      </c>
      <c r="H298" s="288">
        <f>H296*2</f>
        <v>10</v>
      </c>
      <c r="I298" s="172">
        <v>0</v>
      </c>
      <c r="J298" s="172">
        <f>ROUND(I298*H298,2)</f>
        <v>0</v>
      </c>
      <c r="K298" s="173"/>
      <c r="L298" s="174"/>
      <c r="M298" s="175" t="s">
        <v>1</v>
      </c>
      <c r="N298" s="176" t="s">
        <v>33</v>
      </c>
      <c r="O298" s="177">
        <v>0.34</v>
      </c>
      <c r="P298" s="177">
        <f>O298*H298</f>
        <v>3.4000000000000004</v>
      </c>
      <c r="Q298" s="177">
        <v>0.0012</v>
      </c>
      <c r="R298" s="177">
        <f>Q298*H298</f>
        <v>0.011999999999999999</v>
      </c>
      <c r="S298" s="177">
        <v>0</v>
      </c>
      <c r="T298" s="178">
        <f>S298*H298</f>
        <v>0</v>
      </c>
      <c r="AR298" s="179" t="s">
        <v>114</v>
      </c>
      <c r="AT298" s="179" t="s">
        <v>105</v>
      </c>
      <c r="AU298" s="179" t="s">
        <v>75</v>
      </c>
      <c r="AY298" s="180" t="s">
        <v>104</v>
      </c>
      <c r="BE298" s="181">
        <f>IF(N298="základní",J298,0)</f>
        <v>0</v>
      </c>
      <c r="BF298" s="181">
        <f>IF(N298="snížená",J298,0)</f>
        <v>0</v>
      </c>
      <c r="BG298" s="181">
        <f>IF(N298="zákl. přenesená",J298,0)</f>
        <v>0</v>
      </c>
      <c r="BH298" s="181">
        <f>IF(N298="sníž. přenesená",J298,0)</f>
        <v>0</v>
      </c>
      <c r="BI298" s="181">
        <f>IF(N298="nulová",J298,0)</f>
        <v>0</v>
      </c>
      <c r="BJ298" s="180" t="s">
        <v>73</v>
      </c>
      <c r="BK298" s="181">
        <f t="shared" si="88"/>
        <v>0</v>
      </c>
      <c r="BL298" s="180" t="s">
        <v>114</v>
      </c>
      <c r="BM298" s="179" t="s">
        <v>367</v>
      </c>
    </row>
    <row r="299" spans="2:63" s="166" customFormat="1" ht="19.5">
      <c r="B299" s="167"/>
      <c r="C299" s="182"/>
      <c r="D299" s="183" t="s">
        <v>107</v>
      </c>
      <c r="E299" s="182"/>
      <c r="F299" s="184" t="s">
        <v>376</v>
      </c>
      <c r="G299" s="182"/>
      <c r="H299" s="289"/>
      <c r="I299" s="182"/>
      <c r="J299" s="182"/>
      <c r="K299" s="182"/>
      <c r="L299" s="174"/>
      <c r="M299" s="185"/>
      <c r="N299" s="186"/>
      <c r="O299" s="186"/>
      <c r="P299" s="186"/>
      <c r="Q299" s="186"/>
      <c r="R299" s="186"/>
      <c r="S299" s="186"/>
      <c r="T299" s="187"/>
      <c r="AT299" s="180" t="s">
        <v>107</v>
      </c>
      <c r="AU299" s="180" t="s">
        <v>75</v>
      </c>
      <c r="BK299" s="181">
        <f t="shared" si="88"/>
        <v>0</v>
      </c>
    </row>
    <row r="300" spans="2:65" s="166" customFormat="1" ht="12">
      <c r="B300" s="167"/>
      <c r="C300" s="168">
        <f>C298+1</f>
        <v>108</v>
      </c>
      <c r="D300" s="168" t="s">
        <v>105</v>
      </c>
      <c r="E300" s="169" t="s">
        <v>377</v>
      </c>
      <c r="F300" s="170" t="s">
        <v>378</v>
      </c>
      <c r="G300" s="171" t="s">
        <v>111</v>
      </c>
      <c r="H300" s="288">
        <v>3</v>
      </c>
      <c r="I300" s="172">
        <v>0</v>
      </c>
      <c r="J300" s="172">
        <f>ROUND(I300*H300,2)</f>
        <v>0</v>
      </c>
      <c r="K300" s="173"/>
      <c r="L300" s="174"/>
      <c r="M300" s="175" t="s">
        <v>1</v>
      </c>
      <c r="N300" s="176" t="s">
        <v>33</v>
      </c>
      <c r="O300" s="177">
        <v>0.424</v>
      </c>
      <c r="P300" s="177">
        <f>O300*H300</f>
        <v>1.272</v>
      </c>
      <c r="Q300" s="177">
        <v>2E-05</v>
      </c>
      <c r="R300" s="177">
        <f>Q300*H300</f>
        <v>6.000000000000001E-05</v>
      </c>
      <c r="S300" s="177">
        <v>0</v>
      </c>
      <c r="T300" s="178">
        <f>S300*H300</f>
        <v>0</v>
      </c>
      <c r="AR300" s="179" t="s">
        <v>114</v>
      </c>
      <c r="AT300" s="179" t="s">
        <v>105</v>
      </c>
      <c r="AU300" s="179" t="s">
        <v>75</v>
      </c>
      <c r="AY300" s="180" t="s">
        <v>104</v>
      </c>
      <c r="BE300" s="181">
        <f>IF(N300="základní",J300,0)</f>
        <v>0</v>
      </c>
      <c r="BF300" s="181">
        <f>IF(N300="snížená",J300,0)</f>
        <v>0</v>
      </c>
      <c r="BG300" s="181">
        <f>IF(N300="zákl. přenesená",J300,0)</f>
        <v>0</v>
      </c>
      <c r="BH300" s="181">
        <f>IF(N300="sníž. přenesená",J300,0)</f>
        <v>0</v>
      </c>
      <c r="BI300" s="181">
        <f>IF(N300="nulová",J300,0)</f>
        <v>0</v>
      </c>
      <c r="BJ300" s="180" t="s">
        <v>73</v>
      </c>
      <c r="BK300" s="181">
        <f t="shared" si="88"/>
        <v>0</v>
      </c>
      <c r="BL300" s="180" t="s">
        <v>114</v>
      </c>
      <c r="BM300" s="179" t="s">
        <v>371</v>
      </c>
    </row>
    <row r="301" spans="2:63" s="166" customFormat="1" ht="19.5">
      <c r="B301" s="167"/>
      <c r="C301" s="182"/>
      <c r="D301" s="183" t="s">
        <v>107</v>
      </c>
      <c r="E301" s="182"/>
      <c r="F301" s="184" t="s">
        <v>380</v>
      </c>
      <c r="G301" s="182"/>
      <c r="H301" s="289"/>
      <c r="I301" s="182"/>
      <c r="J301" s="182"/>
      <c r="K301" s="182"/>
      <c r="L301" s="174"/>
      <c r="M301" s="185"/>
      <c r="N301" s="186"/>
      <c r="O301" s="186"/>
      <c r="P301" s="186"/>
      <c r="Q301" s="186"/>
      <c r="R301" s="186"/>
      <c r="S301" s="186"/>
      <c r="T301" s="187"/>
      <c r="AT301" s="180" t="s">
        <v>107</v>
      </c>
      <c r="AU301" s="180" t="s">
        <v>75</v>
      </c>
      <c r="BK301" s="181">
        <f t="shared" si="88"/>
        <v>0</v>
      </c>
    </row>
    <row r="302" spans="2:65" s="166" customFormat="1" ht="24">
      <c r="B302" s="167"/>
      <c r="C302" s="168">
        <f>C300+1</f>
        <v>109</v>
      </c>
      <c r="D302" s="168"/>
      <c r="E302" s="169" t="s">
        <v>656</v>
      </c>
      <c r="F302" s="170" t="s">
        <v>658</v>
      </c>
      <c r="G302" s="171" t="s">
        <v>111</v>
      </c>
      <c r="H302" s="288">
        <v>1</v>
      </c>
      <c r="I302" s="172">
        <v>0</v>
      </c>
      <c r="J302" s="172">
        <f>ROUND(I302*H302,2)</f>
        <v>0</v>
      </c>
      <c r="K302" s="173"/>
      <c r="L302" s="174"/>
      <c r="M302" s="175" t="s">
        <v>1</v>
      </c>
      <c r="N302" s="176" t="s">
        <v>33</v>
      </c>
      <c r="O302" s="177">
        <v>0.205</v>
      </c>
      <c r="P302" s="177">
        <f>O302*H302</f>
        <v>0.205</v>
      </c>
      <c r="Q302" s="177">
        <v>0.00079</v>
      </c>
      <c r="R302" s="177">
        <f>Q302*H302</f>
        <v>0.00079</v>
      </c>
      <c r="S302" s="177">
        <v>0</v>
      </c>
      <c r="T302" s="178">
        <f>S302*H302</f>
        <v>0</v>
      </c>
      <c r="AR302" s="179" t="s">
        <v>114</v>
      </c>
      <c r="AT302" s="179" t="s">
        <v>105</v>
      </c>
      <c r="AU302" s="179" t="s">
        <v>75</v>
      </c>
      <c r="AY302" s="180" t="s">
        <v>104</v>
      </c>
      <c r="BE302" s="181">
        <f>IF(N302="základní",J302,0)</f>
        <v>0</v>
      </c>
      <c r="BF302" s="181">
        <f>IF(N302="snížená",J302,0)</f>
        <v>0</v>
      </c>
      <c r="BG302" s="181">
        <f>IF(N302="zákl. přenesená",J302,0)</f>
        <v>0</v>
      </c>
      <c r="BH302" s="181">
        <f>IF(N302="sníž. přenesená",J302,0)</f>
        <v>0</v>
      </c>
      <c r="BI302" s="181">
        <f>IF(N302="nulová",J302,0)</f>
        <v>0</v>
      </c>
      <c r="BJ302" s="180" t="s">
        <v>73</v>
      </c>
      <c r="BK302" s="181">
        <f t="shared" si="88"/>
        <v>0</v>
      </c>
      <c r="BL302" s="180" t="s">
        <v>114</v>
      </c>
      <c r="BM302" s="179" t="s">
        <v>375</v>
      </c>
    </row>
    <row r="303" spans="2:65" s="166" customFormat="1" ht="12" customHeight="1">
      <c r="B303" s="167"/>
      <c r="C303" s="168">
        <f>C302+1</f>
        <v>110</v>
      </c>
      <c r="D303" s="168"/>
      <c r="E303" s="169" t="s">
        <v>657</v>
      </c>
      <c r="F303" s="170" t="s">
        <v>659</v>
      </c>
      <c r="G303" s="171" t="s">
        <v>111</v>
      </c>
      <c r="H303" s="288">
        <v>1</v>
      </c>
      <c r="I303" s="172">
        <v>0</v>
      </c>
      <c r="J303" s="172">
        <f>ROUND(I303*H303,2)</f>
        <v>0</v>
      </c>
      <c r="K303" s="173"/>
      <c r="L303" s="174"/>
      <c r="M303" s="175" t="s">
        <v>1</v>
      </c>
      <c r="N303" s="176" t="s">
        <v>33</v>
      </c>
      <c r="O303" s="177">
        <v>0.41</v>
      </c>
      <c r="P303" s="177">
        <f>O303*H303</f>
        <v>0.41</v>
      </c>
      <c r="Q303" s="177">
        <v>0.00168</v>
      </c>
      <c r="R303" s="177">
        <f>Q303*H303</f>
        <v>0.00168</v>
      </c>
      <c r="S303" s="177">
        <v>0</v>
      </c>
      <c r="T303" s="178">
        <f>S303*H303</f>
        <v>0</v>
      </c>
      <c r="AR303" s="179" t="s">
        <v>114</v>
      </c>
      <c r="AT303" s="179" t="s">
        <v>105</v>
      </c>
      <c r="AU303" s="179" t="s">
        <v>75</v>
      </c>
      <c r="AY303" s="180" t="s">
        <v>104</v>
      </c>
      <c r="BE303" s="181">
        <f>IF(N303="základní",J303,0)</f>
        <v>0</v>
      </c>
      <c r="BF303" s="181">
        <f>IF(N303="snížená",J303,0)</f>
        <v>0</v>
      </c>
      <c r="BG303" s="181">
        <f>IF(N303="zákl. přenesená",J303,0)</f>
        <v>0</v>
      </c>
      <c r="BH303" s="181">
        <f>IF(N303="sníž. přenesená",J303,0)</f>
        <v>0</v>
      </c>
      <c r="BI303" s="181">
        <f>IF(N303="nulová",J303,0)</f>
        <v>0</v>
      </c>
      <c r="BJ303" s="180" t="s">
        <v>73</v>
      </c>
      <c r="BK303" s="181">
        <f t="shared" si="88"/>
        <v>0</v>
      </c>
      <c r="BL303" s="180" t="s">
        <v>114</v>
      </c>
      <c r="BM303" s="179" t="s">
        <v>379</v>
      </c>
    </row>
    <row r="304" spans="2:65" s="166" customFormat="1" ht="12">
      <c r="B304" s="167"/>
      <c r="C304" s="168">
        <f>C303+1</f>
        <v>111</v>
      </c>
      <c r="D304" s="168" t="s">
        <v>105</v>
      </c>
      <c r="E304" s="169" t="s">
        <v>381</v>
      </c>
      <c r="F304" s="170" t="s">
        <v>382</v>
      </c>
      <c r="G304" s="171" t="s">
        <v>111</v>
      </c>
      <c r="H304" s="288">
        <f>H312+H310+H308</f>
        <v>4</v>
      </c>
      <c r="I304" s="172">
        <v>0</v>
      </c>
      <c r="J304" s="172">
        <f>ROUND(I304*H304,2)</f>
        <v>0</v>
      </c>
      <c r="K304" s="173"/>
      <c r="L304" s="174"/>
      <c r="M304" s="175" t="s">
        <v>1</v>
      </c>
      <c r="N304" s="176" t="s">
        <v>33</v>
      </c>
      <c r="O304" s="177">
        <v>0.538</v>
      </c>
      <c r="P304" s="177">
        <f>O304*H304</f>
        <v>2.152</v>
      </c>
      <c r="Q304" s="177">
        <v>2E-05</v>
      </c>
      <c r="R304" s="177">
        <f>Q304*H304</f>
        <v>8E-05</v>
      </c>
      <c r="S304" s="177">
        <v>0</v>
      </c>
      <c r="T304" s="178">
        <f>S304*H304</f>
        <v>0</v>
      </c>
      <c r="AR304" s="179" t="s">
        <v>114</v>
      </c>
      <c r="AT304" s="179" t="s">
        <v>105</v>
      </c>
      <c r="AU304" s="179" t="s">
        <v>75</v>
      </c>
      <c r="AY304" s="180" t="s">
        <v>104</v>
      </c>
      <c r="BE304" s="181">
        <f>IF(N304="základní",J304,0)</f>
        <v>0</v>
      </c>
      <c r="BF304" s="181">
        <f>IF(N304="snížená",J304,0)</f>
        <v>0</v>
      </c>
      <c r="BG304" s="181">
        <f>IF(N304="zákl. přenesená",J304,0)</f>
        <v>0</v>
      </c>
      <c r="BH304" s="181">
        <f>IF(N304="sníž. přenesená",J304,0)</f>
        <v>0</v>
      </c>
      <c r="BI304" s="181">
        <f>IF(N304="nulová",J304,0)</f>
        <v>0</v>
      </c>
      <c r="BJ304" s="180" t="s">
        <v>73</v>
      </c>
      <c r="BK304" s="181">
        <f t="shared" si="88"/>
        <v>0</v>
      </c>
      <c r="BL304" s="180" t="s">
        <v>114</v>
      </c>
      <c r="BM304" s="179" t="s">
        <v>383</v>
      </c>
    </row>
    <row r="305" spans="2:63" s="166" customFormat="1" ht="19.5">
      <c r="B305" s="167"/>
      <c r="C305" s="182"/>
      <c r="D305" s="183" t="s">
        <v>107</v>
      </c>
      <c r="E305" s="182"/>
      <c r="F305" s="184" t="s">
        <v>384</v>
      </c>
      <c r="G305" s="182"/>
      <c r="H305" s="289"/>
      <c r="I305" s="182"/>
      <c r="J305" s="182"/>
      <c r="K305" s="182"/>
      <c r="L305" s="174"/>
      <c r="M305" s="185"/>
      <c r="N305" s="186"/>
      <c r="O305" s="186"/>
      <c r="P305" s="186"/>
      <c r="Q305" s="186"/>
      <c r="R305" s="186"/>
      <c r="S305" s="186"/>
      <c r="T305" s="187"/>
      <c r="AT305" s="180" t="s">
        <v>107</v>
      </c>
      <c r="AU305" s="180" t="s">
        <v>75</v>
      </c>
      <c r="BK305" s="181">
        <f t="shared" si="88"/>
        <v>0</v>
      </c>
    </row>
    <row r="306" spans="2:65" s="166" customFormat="1" ht="24">
      <c r="B306" s="167"/>
      <c r="C306" s="168">
        <f>C304+1</f>
        <v>112</v>
      </c>
      <c r="D306" s="168" t="s">
        <v>105</v>
      </c>
      <c r="E306" s="169" t="s">
        <v>385</v>
      </c>
      <c r="F306" s="170" t="s">
        <v>386</v>
      </c>
      <c r="G306" s="171" t="s">
        <v>111</v>
      </c>
      <c r="H306" s="288">
        <f>H304*2</f>
        <v>8</v>
      </c>
      <c r="I306" s="172">
        <v>0</v>
      </c>
      <c r="J306" s="172">
        <f>ROUND(I306*H306,2)</f>
        <v>0</v>
      </c>
      <c r="K306" s="173"/>
      <c r="L306" s="174"/>
      <c r="M306" s="175" t="s">
        <v>1</v>
      </c>
      <c r="N306" s="176" t="s">
        <v>33</v>
      </c>
      <c r="O306" s="177">
        <v>0.266</v>
      </c>
      <c r="P306" s="177">
        <f>O306*H306</f>
        <v>2.128</v>
      </c>
      <c r="Q306" s="177">
        <v>0.0011</v>
      </c>
      <c r="R306" s="177">
        <f>Q306*H306</f>
        <v>0.0088</v>
      </c>
      <c r="S306" s="177">
        <v>0</v>
      </c>
      <c r="T306" s="178">
        <f>S306*H306</f>
        <v>0</v>
      </c>
      <c r="AR306" s="179" t="s">
        <v>114</v>
      </c>
      <c r="AT306" s="179" t="s">
        <v>105</v>
      </c>
      <c r="AU306" s="179" t="s">
        <v>75</v>
      </c>
      <c r="AY306" s="180" t="s">
        <v>104</v>
      </c>
      <c r="BE306" s="181">
        <f>IF(N306="základní",J306,0)</f>
        <v>0</v>
      </c>
      <c r="BF306" s="181">
        <f>IF(N306="snížená",J306,0)</f>
        <v>0</v>
      </c>
      <c r="BG306" s="181">
        <f>IF(N306="zákl. přenesená",J306,0)</f>
        <v>0</v>
      </c>
      <c r="BH306" s="181">
        <f>IF(N306="sníž. přenesená",J306,0)</f>
        <v>0</v>
      </c>
      <c r="BI306" s="181">
        <f>IF(N306="nulová",J306,0)</f>
        <v>0</v>
      </c>
      <c r="BJ306" s="180" t="s">
        <v>73</v>
      </c>
      <c r="BK306" s="181">
        <f t="shared" si="88"/>
        <v>0</v>
      </c>
      <c r="BL306" s="180" t="s">
        <v>114</v>
      </c>
      <c r="BM306" s="179" t="s">
        <v>387</v>
      </c>
    </row>
    <row r="307" spans="2:63" s="166" customFormat="1" ht="19.5">
      <c r="B307" s="167"/>
      <c r="C307" s="182"/>
      <c r="D307" s="183" t="s">
        <v>107</v>
      </c>
      <c r="E307" s="182"/>
      <c r="F307" s="184" t="s">
        <v>388</v>
      </c>
      <c r="G307" s="182"/>
      <c r="H307" s="289"/>
      <c r="I307" s="182"/>
      <c r="J307" s="182"/>
      <c r="K307" s="182"/>
      <c r="L307" s="174"/>
      <c r="M307" s="185"/>
      <c r="N307" s="186"/>
      <c r="O307" s="186"/>
      <c r="P307" s="186"/>
      <c r="Q307" s="186"/>
      <c r="R307" s="186"/>
      <c r="S307" s="186"/>
      <c r="T307" s="187"/>
      <c r="AT307" s="180" t="s">
        <v>107</v>
      </c>
      <c r="AU307" s="180" t="s">
        <v>75</v>
      </c>
      <c r="BK307" s="181">
        <f t="shared" si="88"/>
        <v>0</v>
      </c>
    </row>
    <row r="308" spans="2:65" s="166" customFormat="1" ht="24">
      <c r="B308" s="167"/>
      <c r="C308" s="168">
        <f>C306+1</f>
        <v>113</v>
      </c>
      <c r="D308" s="168" t="s">
        <v>105</v>
      </c>
      <c r="E308" s="169" t="s">
        <v>389</v>
      </c>
      <c r="F308" s="170" t="s">
        <v>390</v>
      </c>
      <c r="G308" s="171" t="s">
        <v>111</v>
      </c>
      <c r="H308" s="288">
        <v>2</v>
      </c>
      <c r="I308" s="172">
        <v>0</v>
      </c>
      <c r="J308" s="172">
        <f>ROUND(I308*H308,2)</f>
        <v>0</v>
      </c>
      <c r="K308" s="173"/>
      <c r="L308" s="174"/>
      <c r="M308" s="175" t="s">
        <v>1</v>
      </c>
      <c r="N308" s="176" t="s">
        <v>33</v>
      </c>
      <c r="O308" s="177">
        <v>0.52</v>
      </c>
      <c r="P308" s="177">
        <f>O308*H308</f>
        <v>1.04</v>
      </c>
      <c r="Q308" s="177">
        <v>0.00315</v>
      </c>
      <c r="R308" s="177">
        <f>Q308*H308</f>
        <v>0.0063</v>
      </c>
      <c r="S308" s="177">
        <v>0</v>
      </c>
      <c r="T308" s="178">
        <f>S308*H308</f>
        <v>0</v>
      </c>
      <c r="AR308" s="179" t="s">
        <v>114</v>
      </c>
      <c r="AT308" s="179" t="s">
        <v>105</v>
      </c>
      <c r="AU308" s="179" t="s">
        <v>75</v>
      </c>
      <c r="AY308" s="180" t="s">
        <v>104</v>
      </c>
      <c r="BE308" s="181">
        <f>IF(N308="základní",J308,0)</f>
        <v>0</v>
      </c>
      <c r="BF308" s="181">
        <f>IF(N308="snížená",J308,0)</f>
        <v>0</v>
      </c>
      <c r="BG308" s="181">
        <f>IF(N308="zákl. přenesená",J308,0)</f>
        <v>0</v>
      </c>
      <c r="BH308" s="181">
        <f>IF(N308="sníž. přenesená",J308,0)</f>
        <v>0</v>
      </c>
      <c r="BI308" s="181">
        <f>IF(N308="nulová",J308,0)</f>
        <v>0</v>
      </c>
      <c r="BJ308" s="180" t="s">
        <v>73</v>
      </c>
      <c r="BK308" s="181">
        <f t="shared" si="88"/>
        <v>0</v>
      </c>
      <c r="BL308" s="180" t="s">
        <v>114</v>
      </c>
      <c r="BM308" s="179" t="s">
        <v>391</v>
      </c>
    </row>
    <row r="309" spans="2:63" s="166" customFormat="1" ht="19.5">
      <c r="B309" s="167"/>
      <c r="C309" s="182"/>
      <c r="D309" s="183" t="s">
        <v>107</v>
      </c>
      <c r="E309" s="182"/>
      <c r="F309" s="184" t="s">
        <v>392</v>
      </c>
      <c r="G309" s="182"/>
      <c r="H309" s="289"/>
      <c r="I309" s="182"/>
      <c r="J309" s="182"/>
      <c r="K309" s="182"/>
      <c r="L309" s="174"/>
      <c r="M309" s="185"/>
      <c r="N309" s="186"/>
      <c r="O309" s="186"/>
      <c r="P309" s="186"/>
      <c r="Q309" s="186"/>
      <c r="R309" s="186"/>
      <c r="S309" s="186"/>
      <c r="T309" s="187"/>
      <c r="AT309" s="180" t="s">
        <v>107</v>
      </c>
      <c r="AU309" s="180" t="s">
        <v>75</v>
      </c>
      <c r="BK309" s="181">
        <f t="shared" si="88"/>
        <v>0</v>
      </c>
    </row>
    <row r="310" spans="2:65" s="166" customFormat="1" ht="24">
      <c r="B310" s="167"/>
      <c r="C310" s="168">
        <f>C308+1</f>
        <v>114</v>
      </c>
      <c r="D310" s="168" t="s">
        <v>105</v>
      </c>
      <c r="E310" s="169" t="s">
        <v>661</v>
      </c>
      <c r="F310" s="170" t="s">
        <v>662</v>
      </c>
      <c r="G310" s="171" t="s">
        <v>111</v>
      </c>
      <c r="H310" s="288">
        <v>1</v>
      </c>
      <c r="I310" s="172">
        <v>0</v>
      </c>
      <c r="J310" s="172">
        <f>ROUND(I310*H310,2)</f>
        <v>0</v>
      </c>
      <c r="K310" s="173"/>
      <c r="L310" s="174"/>
      <c r="M310" s="175" t="s">
        <v>1</v>
      </c>
      <c r="N310" s="176" t="s">
        <v>33</v>
      </c>
      <c r="O310" s="177">
        <v>0.52</v>
      </c>
      <c r="P310" s="177">
        <f>O310*H310</f>
        <v>0.52</v>
      </c>
      <c r="Q310" s="177">
        <v>0.00132</v>
      </c>
      <c r="R310" s="177">
        <f>Q310*H310</f>
        <v>0.00132</v>
      </c>
      <c r="S310" s="177">
        <v>0</v>
      </c>
      <c r="T310" s="178">
        <f>S310*H310</f>
        <v>0</v>
      </c>
      <c r="AR310" s="179" t="s">
        <v>114</v>
      </c>
      <c r="AT310" s="179" t="s">
        <v>105</v>
      </c>
      <c r="AU310" s="179" t="s">
        <v>75</v>
      </c>
      <c r="AY310" s="180" t="s">
        <v>104</v>
      </c>
      <c r="BE310" s="181">
        <f>IF(N310="základní",J310,0)</f>
        <v>0</v>
      </c>
      <c r="BF310" s="181">
        <f>IF(N310="snížená",J310,0)</f>
        <v>0</v>
      </c>
      <c r="BG310" s="181">
        <f>IF(N310="zákl. přenesená",J310,0)</f>
        <v>0</v>
      </c>
      <c r="BH310" s="181">
        <f>IF(N310="sníž. přenesená",J310,0)</f>
        <v>0</v>
      </c>
      <c r="BI310" s="181">
        <f>IF(N310="nulová",J310,0)</f>
        <v>0</v>
      </c>
      <c r="BJ310" s="180" t="s">
        <v>73</v>
      </c>
      <c r="BK310" s="181">
        <f t="shared" si="88"/>
        <v>0</v>
      </c>
      <c r="BL310" s="180" t="s">
        <v>114</v>
      </c>
      <c r="BM310" s="179" t="s">
        <v>393</v>
      </c>
    </row>
    <row r="311" spans="2:63" s="166" customFormat="1" ht="12">
      <c r="B311" s="167"/>
      <c r="C311" s="182"/>
      <c r="D311" s="183" t="s">
        <v>107</v>
      </c>
      <c r="E311" s="182"/>
      <c r="F311" s="184"/>
      <c r="G311" s="182"/>
      <c r="H311" s="289"/>
      <c r="I311" s="182"/>
      <c r="J311" s="182"/>
      <c r="K311" s="182"/>
      <c r="L311" s="174"/>
      <c r="M311" s="185"/>
      <c r="N311" s="186"/>
      <c r="O311" s="186"/>
      <c r="P311" s="186"/>
      <c r="Q311" s="186"/>
      <c r="R311" s="186"/>
      <c r="S311" s="186"/>
      <c r="T311" s="187"/>
      <c r="AT311" s="180" t="s">
        <v>107</v>
      </c>
      <c r="AU311" s="180" t="s">
        <v>75</v>
      </c>
      <c r="BK311" s="181">
        <f t="shared" si="88"/>
        <v>0</v>
      </c>
    </row>
    <row r="312" spans="2:65" s="166" customFormat="1" ht="24">
      <c r="B312" s="167"/>
      <c r="C312" s="168">
        <f>C310+1</f>
        <v>115</v>
      </c>
      <c r="D312" s="168" t="s">
        <v>105</v>
      </c>
      <c r="E312" s="169" t="s">
        <v>661</v>
      </c>
      <c r="F312" s="170" t="s">
        <v>660</v>
      </c>
      <c r="G312" s="171" t="s">
        <v>111</v>
      </c>
      <c r="H312" s="288">
        <v>1</v>
      </c>
      <c r="I312" s="172">
        <v>0</v>
      </c>
      <c r="J312" s="172">
        <f>ROUND(I312*H312,2)</f>
        <v>0</v>
      </c>
      <c r="K312" s="173"/>
      <c r="L312" s="174"/>
      <c r="M312" s="175" t="s">
        <v>1</v>
      </c>
      <c r="N312" s="176" t="s">
        <v>33</v>
      </c>
      <c r="O312" s="177">
        <v>0.641</v>
      </c>
      <c r="P312" s="177">
        <f>O312*H312</f>
        <v>0.641</v>
      </c>
      <c r="Q312" s="177">
        <v>4E-05</v>
      </c>
      <c r="R312" s="177">
        <f>Q312*H312</f>
        <v>4E-05</v>
      </c>
      <c r="S312" s="177">
        <v>0</v>
      </c>
      <c r="T312" s="178">
        <f>S312*H312</f>
        <v>0</v>
      </c>
      <c r="AR312" s="179" t="s">
        <v>114</v>
      </c>
      <c r="AT312" s="179" t="s">
        <v>105</v>
      </c>
      <c r="AU312" s="179" t="s">
        <v>75</v>
      </c>
      <c r="AY312" s="180" t="s">
        <v>104</v>
      </c>
      <c r="BE312" s="181">
        <f>IF(N312="základní",J312,0)</f>
        <v>0</v>
      </c>
      <c r="BF312" s="181">
        <f>IF(N312="snížená",J312,0)</f>
        <v>0</v>
      </c>
      <c r="BG312" s="181">
        <f>IF(N312="zákl. přenesená",J312,0)</f>
        <v>0</v>
      </c>
      <c r="BH312" s="181">
        <f>IF(N312="sníž. přenesená",J312,0)</f>
        <v>0</v>
      </c>
      <c r="BI312" s="181">
        <f>IF(N312="nulová",J312,0)</f>
        <v>0</v>
      </c>
      <c r="BJ312" s="180" t="s">
        <v>73</v>
      </c>
      <c r="BK312" s="181">
        <f t="shared" si="88"/>
        <v>0</v>
      </c>
      <c r="BL312" s="180" t="s">
        <v>114</v>
      </c>
      <c r="BM312" s="179" t="s">
        <v>397</v>
      </c>
    </row>
    <row r="313" spans="2:63" s="166" customFormat="1" ht="19.5">
      <c r="B313" s="167"/>
      <c r="C313" s="182"/>
      <c r="D313" s="183" t="s">
        <v>107</v>
      </c>
      <c r="E313" s="182"/>
      <c r="F313" s="184" t="s">
        <v>394</v>
      </c>
      <c r="G313" s="182"/>
      <c r="H313" s="289"/>
      <c r="I313" s="182"/>
      <c r="J313" s="182"/>
      <c r="K313" s="182"/>
      <c r="L313" s="174"/>
      <c r="M313" s="185"/>
      <c r="N313" s="186"/>
      <c r="O313" s="186"/>
      <c r="P313" s="186"/>
      <c r="Q313" s="186"/>
      <c r="R313" s="186"/>
      <c r="S313" s="186"/>
      <c r="T313" s="187"/>
      <c r="AT313" s="180" t="s">
        <v>107</v>
      </c>
      <c r="AU313" s="180" t="s">
        <v>75</v>
      </c>
      <c r="BK313" s="181">
        <f t="shared" si="88"/>
        <v>0</v>
      </c>
    </row>
    <row r="314" spans="2:65" s="166" customFormat="1" ht="12">
      <c r="B314" s="167"/>
      <c r="C314" s="168">
        <f>C312+1</f>
        <v>116</v>
      </c>
      <c r="D314" s="168" t="s">
        <v>105</v>
      </c>
      <c r="E314" s="169" t="s">
        <v>664</v>
      </c>
      <c r="F314" s="170" t="s">
        <v>665</v>
      </c>
      <c r="G314" s="171" t="s">
        <v>111</v>
      </c>
      <c r="H314" s="288">
        <v>2</v>
      </c>
      <c r="I314" s="172">
        <v>0</v>
      </c>
      <c r="J314" s="172">
        <f>ROUND(I314*H314,2)</f>
        <v>0</v>
      </c>
      <c r="K314" s="173"/>
      <c r="L314" s="174"/>
      <c r="M314" s="175" t="s">
        <v>1</v>
      </c>
      <c r="N314" s="176" t="s">
        <v>33</v>
      </c>
      <c r="O314" s="177">
        <v>0.62</v>
      </c>
      <c r="P314" s="177">
        <f>O314*H314</f>
        <v>1.24</v>
      </c>
      <c r="Q314" s="177">
        <v>0.00432</v>
      </c>
      <c r="R314" s="177">
        <f>Q314*H314</f>
        <v>0.00864</v>
      </c>
      <c r="S314" s="177">
        <v>0</v>
      </c>
      <c r="T314" s="178">
        <f>S314*H314</f>
        <v>0</v>
      </c>
      <c r="AR314" s="179" t="s">
        <v>114</v>
      </c>
      <c r="AT314" s="179" t="s">
        <v>105</v>
      </c>
      <c r="AU314" s="179" t="s">
        <v>75</v>
      </c>
      <c r="AY314" s="180" t="s">
        <v>104</v>
      </c>
      <c r="BE314" s="181">
        <f>IF(N314="základní",J314,0)</f>
        <v>0</v>
      </c>
      <c r="BF314" s="181">
        <f>IF(N314="snížená",J314,0)</f>
        <v>0</v>
      </c>
      <c r="BG314" s="181">
        <f>IF(N314="zákl. přenesená",J314,0)</f>
        <v>0</v>
      </c>
      <c r="BH314" s="181">
        <f>IF(N314="sníž. přenesená",J314,0)</f>
        <v>0</v>
      </c>
      <c r="BI314" s="181">
        <f>IF(N314="nulová",J314,0)</f>
        <v>0</v>
      </c>
      <c r="BJ314" s="180" t="s">
        <v>73</v>
      </c>
      <c r="BK314" s="181">
        <f t="shared" si="88"/>
        <v>0</v>
      </c>
      <c r="BL314" s="180" t="s">
        <v>114</v>
      </c>
      <c r="BM314" s="179" t="s">
        <v>401</v>
      </c>
    </row>
    <row r="315" spans="2:63" s="166" customFormat="1" ht="24">
      <c r="B315" s="167"/>
      <c r="C315" s="182"/>
      <c r="D315" s="183" t="s">
        <v>107</v>
      </c>
      <c r="E315" s="182"/>
      <c r="F315" s="170" t="s">
        <v>663</v>
      </c>
      <c r="G315" s="171" t="s">
        <v>111</v>
      </c>
      <c r="H315" s="288">
        <v>2</v>
      </c>
      <c r="I315" s="172">
        <v>0</v>
      </c>
      <c r="J315" s="172">
        <f>ROUND(I315*H315,2)</f>
        <v>0</v>
      </c>
      <c r="K315" s="182"/>
      <c r="L315" s="174"/>
      <c r="M315" s="185"/>
      <c r="N315" s="186"/>
      <c r="O315" s="186"/>
      <c r="P315" s="186"/>
      <c r="Q315" s="186"/>
      <c r="R315" s="186"/>
      <c r="S315" s="186"/>
      <c r="T315" s="187"/>
      <c r="AT315" s="180" t="s">
        <v>107</v>
      </c>
      <c r="AU315" s="180" t="s">
        <v>75</v>
      </c>
      <c r="BK315" s="181">
        <f t="shared" si="88"/>
        <v>0</v>
      </c>
    </row>
    <row r="316" spans="2:65" s="166" customFormat="1" ht="12">
      <c r="B316" s="167"/>
      <c r="C316" s="168">
        <f>C314+1</f>
        <v>117</v>
      </c>
      <c r="D316" s="168"/>
      <c r="E316" s="169" t="s">
        <v>666</v>
      </c>
      <c r="F316" s="170" t="s">
        <v>667</v>
      </c>
      <c r="G316" s="171" t="s">
        <v>111</v>
      </c>
      <c r="H316" s="288">
        <v>2</v>
      </c>
      <c r="I316" s="172">
        <v>0</v>
      </c>
      <c r="J316" s="172">
        <f>ROUND(I316*H316,2)</f>
        <v>0</v>
      </c>
      <c r="K316" s="173"/>
      <c r="L316" s="174"/>
      <c r="M316" s="175" t="s">
        <v>1</v>
      </c>
      <c r="N316" s="176" t="s">
        <v>33</v>
      </c>
      <c r="O316" s="177">
        <v>0.641</v>
      </c>
      <c r="P316" s="177">
        <f>O316*H316</f>
        <v>1.282</v>
      </c>
      <c r="Q316" s="177">
        <v>4E-05</v>
      </c>
      <c r="R316" s="177">
        <f>Q316*H316</f>
        <v>8E-05</v>
      </c>
      <c r="S316" s="177">
        <v>0</v>
      </c>
      <c r="T316" s="178">
        <f>S316*H316</f>
        <v>0</v>
      </c>
      <c r="AR316" s="179" t="s">
        <v>114</v>
      </c>
      <c r="AT316" s="179" t="s">
        <v>105</v>
      </c>
      <c r="AU316" s="179" t="s">
        <v>75</v>
      </c>
      <c r="AY316" s="180" t="s">
        <v>104</v>
      </c>
      <c r="BE316" s="181">
        <f>IF(N316="základní",J316,0)</f>
        <v>0</v>
      </c>
      <c r="BF316" s="181">
        <f>IF(N316="snížená",J316,0)</f>
        <v>0</v>
      </c>
      <c r="BG316" s="181">
        <f>IF(N316="zákl. přenesená",J316,0)</f>
        <v>0</v>
      </c>
      <c r="BH316" s="181">
        <f>IF(N316="sníž. přenesená",J316,0)</f>
        <v>0</v>
      </c>
      <c r="BI316" s="181">
        <f>IF(N316="nulová",J316,0)</f>
        <v>0</v>
      </c>
      <c r="BJ316" s="180" t="s">
        <v>73</v>
      </c>
      <c r="BK316" s="181">
        <f t="shared" si="88"/>
        <v>0</v>
      </c>
      <c r="BL316" s="180" t="s">
        <v>114</v>
      </c>
      <c r="BM316" s="179" t="s">
        <v>403</v>
      </c>
    </row>
    <row r="317" spans="2:65" s="166" customFormat="1" ht="12">
      <c r="B317" s="167"/>
      <c r="C317" s="168">
        <f>C316+1</f>
        <v>118</v>
      </c>
      <c r="D317" s="168" t="s">
        <v>105</v>
      </c>
      <c r="E317" s="169" t="s">
        <v>395</v>
      </c>
      <c r="F317" s="170" t="s">
        <v>396</v>
      </c>
      <c r="G317" s="171" t="s">
        <v>111</v>
      </c>
      <c r="H317" s="288">
        <v>1</v>
      </c>
      <c r="I317" s="172">
        <v>0</v>
      </c>
      <c r="J317" s="172">
        <f>ROUND(I317*H317,2)</f>
        <v>0</v>
      </c>
      <c r="K317" s="196"/>
      <c r="L317" s="197"/>
      <c r="M317" s="198" t="s">
        <v>1</v>
      </c>
      <c r="N317" s="199" t="s">
        <v>33</v>
      </c>
      <c r="O317" s="200">
        <v>0</v>
      </c>
      <c r="P317" s="200">
        <f>O317*H317</f>
        <v>0</v>
      </c>
      <c r="Q317" s="200">
        <v>0.00053</v>
      </c>
      <c r="R317" s="200">
        <f>Q317*H317</f>
        <v>0.00053</v>
      </c>
      <c r="S317" s="200">
        <v>0</v>
      </c>
      <c r="T317" s="201">
        <f>S317*H317</f>
        <v>0</v>
      </c>
      <c r="AR317" s="179" t="s">
        <v>115</v>
      </c>
      <c r="AT317" s="179" t="s">
        <v>110</v>
      </c>
      <c r="AU317" s="179" t="s">
        <v>75</v>
      </c>
      <c r="AY317" s="180" t="s">
        <v>104</v>
      </c>
      <c r="BE317" s="181">
        <f>IF(N317="základní",J317,0)</f>
        <v>0</v>
      </c>
      <c r="BF317" s="181">
        <f>IF(N317="snížená",J317,0)</f>
        <v>0</v>
      </c>
      <c r="BG317" s="181">
        <f>IF(N317="zákl. přenesená",J317,0)</f>
        <v>0</v>
      </c>
      <c r="BH317" s="181">
        <f>IF(N317="sníž. přenesená",J317,0)</f>
        <v>0</v>
      </c>
      <c r="BI317" s="181">
        <f>IF(N317="nulová",J317,0)</f>
        <v>0</v>
      </c>
      <c r="BJ317" s="180" t="s">
        <v>73</v>
      </c>
      <c r="BK317" s="181">
        <f t="shared" si="88"/>
        <v>0</v>
      </c>
      <c r="BL317" s="180" t="s">
        <v>114</v>
      </c>
      <c r="BM317" s="179" t="s">
        <v>404</v>
      </c>
    </row>
    <row r="318" spans="2:63" s="166" customFormat="1" ht="19.5">
      <c r="B318" s="167"/>
      <c r="C318" s="182"/>
      <c r="D318" s="183" t="s">
        <v>107</v>
      </c>
      <c r="E318" s="182"/>
      <c r="F318" s="184" t="s">
        <v>398</v>
      </c>
      <c r="G318" s="182"/>
      <c r="H318" s="289"/>
      <c r="I318" s="182"/>
      <c r="J318" s="182"/>
      <c r="K318" s="182"/>
      <c r="L318" s="174"/>
      <c r="M318" s="185"/>
      <c r="N318" s="186"/>
      <c r="O318" s="186"/>
      <c r="P318" s="186"/>
      <c r="Q318" s="186"/>
      <c r="R318" s="186"/>
      <c r="S318" s="186"/>
      <c r="T318" s="187"/>
      <c r="AT318" s="180" t="s">
        <v>107</v>
      </c>
      <c r="AU318" s="180" t="s">
        <v>75</v>
      </c>
      <c r="BK318" s="181">
        <f t="shared" si="88"/>
        <v>0</v>
      </c>
    </row>
    <row r="319" spans="2:65" s="166" customFormat="1" ht="12">
      <c r="B319" s="167"/>
      <c r="C319" s="279">
        <f>C317+1</f>
        <v>119</v>
      </c>
      <c r="D319" s="279" t="s">
        <v>105</v>
      </c>
      <c r="E319" s="280" t="s">
        <v>399</v>
      </c>
      <c r="F319" s="278" t="s">
        <v>400</v>
      </c>
      <c r="G319" s="281" t="s">
        <v>111</v>
      </c>
      <c r="H319" s="288">
        <v>1</v>
      </c>
      <c r="I319" s="282">
        <v>0</v>
      </c>
      <c r="J319" s="282">
        <f>ROUND(I319*H319,2)</f>
        <v>0</v>
      </c>
      <c r="K319" s="173"/>
      <c r="L319" s="174"/>
      <c r="M319" s="283" t="s">
        <v>1</v>
      </c>
      <c r="N319" s="284" t="s">
        <v>33</v>
      </c>
      <c r="O319" s="285">
        <v>0</v>
      </c>
      <c r="P319" s="285">
        <f>O319*H319</f>
        <v>0</v>
      </c>
      <c r="Q319" s="285">
        <v>0.00084</v>
      </c>
      <c r="R319" s="285">
        <f>Q319*H319</f>
        <v>0.00084</v>
      </c>
      <c r="S319" s="285">
        <v>0</v>
      </c>
      <c r="T319" s="286">
        <f>S319*H319</f>
        <v>0</v>
      </c>
      <c r="AR319" s="287" t="s">
        <v>115</v>
      </c>
      <c r="AT319" s="287" t="s">
        <v>110</v>
      </c>
      <c r="AU319" s="287" t="s">
        <v>75</v>
      </c>
      <c r="AY319" s="180" t="s">
        <v>104</v>
      </c>
      <c r="BE319" s="181">
        <f>IF(N319="základní",J319,0)</f>
        <v>0</v>
      </c>
      <c r="BF319" s="181">
        <f>IF(N319="snížená",J319,0)</f>
        <v>0</v>
      </c>
      <c r="BG319" s="181">
        <f>IF(N319="zákl. přenesená",J319,0)</f>
        <v>0</v>
      </c>
      <c r="BH319" s="181">
        <f>IF(N319="sníž. přenesená",J319,0)</f>
        <v>0</v>
      </c>
      <c r="BI319" s="181">
        <f>IF(N319="nulová",J319,0)</f>
        <v>0</v>
      </c>
      <c r="BJ319" s="180" t="s">
        <v>73</v>
      </c>
      <c r="BK319" s="181">
        <f t="shared" si="88"/>
        <v>0</v>
      </c>
      <c r="BL319" s="180" t="s">
        <v>114</v>
      </c>
      <c r="BM319" s="287" t="s">
        <v>405</v>
      </c>
    </row>
    <row r="320" spans="2:63" s="166" customFormat="1" ht="19.5">
      <c r="B320" s="167"/>
      <c r="C320" s="182"/>
      <c r="D320" s="183" t="s">
        <v>107</v>
      </c>
      <c r="E320" s="182"/>
      <c r="F320" s="184" t="s">
        <v>402</v>
      </c>
      <c r="G320" s="182"/>
      <c r="H320" s="289"/>
      <c r="I320" s="182"/>
      <c r="J320" s="182"/>
      <c r="K320" s="182"/>
      <c r="L320" s="174"/>
      <c r="M320" s="185"/>
      <c r="N320" s="186"/>
      <c r="O320" s="186"/>
      <c r="P320" s="186"/>
      <c r="Q320" s="186"/>
      <c r="R320" s="186"/>
      <c r="S320" s="186"/>
      <c r="T320" s="187"/>
      <c r="AT320" s="180" t="s">
        <v>107</v>
      </c>
      <c r="AU320" s="180" t="s">
        <v>75</v>
      </c>
      <c r="BK320" s="181">
        <f t="shared" si="88"/>
        <v>0</v>
      </c>
    </row>
    <row r="321" spans="2:65" s="166" customFormat="1" ht="33.75" customHeight="1">
      <c r="B321" s="167"/>
      <c r="C321" s="279">
        <f>C319+1</f>
        <v>120</v>
      </c>
      <c r="D321" s="269" t="s">
        <v>105</v>
      </c>
      <c r="E321" s="280" t="s">
        <v>704</v>
      </c>
      <c r="F321" s="278" t="s">
        <v>705</v>
      </c>
      <c r="G321" s="281" t="s">
        <v>111</v>
      </c>
      <c r="H321" s="288">
        <v>1</v>
      </c>
      <c r="I321" s="282">
        <v>0</v>
      </c>
      <c r="J321" s="282">
        <f>ROUND(I321*H321,2)</f>
        <v>0</v>
      </c>
      <c r="K321" s="173"/>
      <c r="L321" s="174"/>
      <c r="M321" s="283" t="s">
        <v>1</v>
      </c>
      <c r="N321" s="284" t="s">
        <v>33</v>
      </c>
      <c r="O321" s="285">
        <v>0</v>
      </c>
      <c r="P321" s="285">
        <f>O321*H321</f>
        <v>0</v>
      </c>
      <c r="Q321" s="285">
        <v>0.0048</v>
      </c>
      <c r="R321" s="285">
        <f>Q321*H321</f>
        <v>0.0048</v>
      </c>
      <c r="S321" s="285">
        <v>0</v>
      </c>
      <c r="T321" s="286">
        <f>S321*H321</f>
        <v>0</v>
      </c>
      <c r="AR321" s="287" t="s">
        <v>115</v>
      </c>
      <c r="AT321" s="287" t="s">
        <v>110</v>
      </c>
      <c r="AU321" s="287" t="s">
        <v>75</v>
      </c>
      <c r="AY321" s="180" t="s">
        <v>104</v>
      </c>
      <c r="BE321" s="181">
        <f>IF(N321="základní",J321,0)</f>
        <v>0</v>
      </c>
      <c r="BF321" s="181">
        <f>IF(N321="snížená",J321,0)</f>
        <v>0</v>
      </c>
      <c r="BG321" s="181">
        <f>IF(N321="zákl. přenesená",J321,0)</f>
        <v>0</v>
      </c>
      <c r="BH321" s="181">
        <f>IF(N321="sníž. přenesená",J321,0)</f>
        <v>0</v>
      </c>
      <c r="BI321" s="181">
        <f>IF(N321="nulová",J321,0)</f>
        <v>0</v>
      </c>
      <c r="BJ321" s="180" t="s">
        <v>73</v>
      </c>
      <c r="BK321" s="181">
        <f t="shared" si="88"/>
        <v>0</v>
      </c>
      <c r="BL321" s="180" t="s">
        <v>114</v>
      </c>
      <c r="BM321" s="287" t="s">
        <v>406</v>
      </c>
    </row>
    <row r="322" spans="2:65" s="166" customFormat="1" ht="36">
      <c r="B322" s="167"/>
      <c r="C322" s="279">
        <f>C321+1</f>
        <v>121</v>
      </c>
      <c r="D322" s="279" t="s">
        <v>110</v>
      </c>
      <c r="E322" s="280" t="s">
        <v>706</v>
      </c>
      <c r="F322" s="278" t="s">
        <v>707</v>
      </c>
      <c r="G322" s="281" t="s">
        <v>111</v>
      </c>
      <c r="H322" s="288">
        <v>1</v>
      </c>
      <c r="I322" s="282">
        <v>0</v>
      </c>
      <c r="J322" s="282">
        <f>ROUND(I322*H322,2)</f>
        <v>0</v>
      </c>
      <c r="K322" s="173"/>
      <c r="L322" s="174"/>
      <c r="M322" s="283" t="s">
        <v>1</v>
      </c>
      <c r="N322" s="284" t="s">
        <v>33</v>
      </c>
      <c r="O322" s="285">
        <v>0</v>
      </c>
      <c r="P322" s="285">
        <f>O322*H322</f>
        <v>0</v>
      </c>
      <c r="Q322" s="285">
        <v>0.00124</v>
      </c>
      <c r="R322" s="285">
        <f>Q322*H322</f>
        <v>0.00124</v>
      </c>
      <c r="S322" s="285">
        <v>0</v>
      </c>
      <c r="T322" s="286">
        <f>S322*H322</f>
        <v>0</v>
      </c>
      <c r="AR322" s="287" t="s">
        <v>115</v>
      </c>
      <c r="AT322" s="287" t="s">
        <v>110</v>
      </c>
      <c r="AU322" s="287" t="s">
        <v>75</v>
      </c>
      <c r="AY322" s="180" t="s">
        <v>104</v>
      </c>
      <c r="BE322" s="181">
        <f>IF(N322="základní",J322,0)</f>
        <v>0</v>
      </c>
      <c r="BF322" s="181">
        <f>IF(N322="snížená",J322,0)</f>
        <v>0</v>
      </c>
      <c r="BG322" s="181">
        <f>IF(N322="zákl. přenesená",J322,0)</f>
        <v>0</v>
      </c>
      <c r="BH322" s="181">
        <f>IF(N322="sníž. přenesená",J322,0)</f>
        <v>0</v>
      </c>
      <c r="BI322" s="181">
        <f>IF(N322="nulová",J322,0)</f>
        <v>0</v>
      </c>
      <c r="BJ322" s="180" t="s">
        <v>73</v>
      </c>
      <c r="BK322" s="181">
        <f t="shared" si="88"/>
        <v>0</v>
      </c>
      <c r="BL322" s="180" t="s">
        <v>114</v>
      </c>
      <c r="BM322" s="287" t="s">
        <v>407</v>
      </c>
    </row>
    <row r="323" spans="2:65" s="166" customFormat="1" ht="24">
      <c r="B323" s="167"/>
      <c r="C323" s="279">
        <f aca="true" t="shared" si="89" ref="C323:C324">C322+1</f>
        <v>122</v>
      </c>
      <c r="D323" s="279" t="s">
        <v>110</v>
      </c>
      <c r="E323" s="280" t="s">
        <v>708</v>
      </c>
      <c r="F323" s="278" t="s">
        <v>772</v>
      </c>
      <c r="G323" s="281" t="s">
        <v>111</v>
      </c>
      <c r="H323" s="288">
        <v>1</v>
      </c>
      <c r="I323" s="282">
        <v>0</v>
      </c>
      <c r="J323" s="282">
        <f>ROUND(I323*H323,2)</f>
        <v>0</v>
      </c>
      <c r="K323" s="173"/>
      <c r="L323" s="174"/>
      <c r="M323" s="283" t="s">
        <v>1</v>
      </c>
      <c r="N323" s="284" t="s">
        <v>33</v>
      </c>
      <c r="O323" s="285">
        <v>0</v>
      </c>
      <c r="P323" s="285">
        <f>O323*H323</f>
        <v>0</v>
      </c>
      <c r="Q323" s="285">
        <v>0.0036</v>
      </c>
      <c r="R323" s="285">
        <f>Q323*H323</f>
        <v>0.0036</v>
      </c>
      <c r="S323" s="285">
        <v>0</v>
      </c>
      <c r="T323" s="286">
        <f>S323*H323</f>
        <v>0</v>
      </c>
      <c r="AR323" s="287" t="s">
        <v>115</v>
      </c>
      <c r="AT323" s="287" t="s">
        <v>110</v>
      </c>
      <c r="AU323" s="287" t="s">
        <v>75</v>
      </c>
      <c r="AY323" s="180" t="s">
        <v>104</v>
      </c>
      <c r="BE323" s="181">
        <f>IF(N323="základní",J323,0)</f>
        <v>0</v>
      </c>
      <c r="BF323" s="181">
        <f>IF(N323="snížená",J323,0)</f>
        <v>0</v>
      </c>
      <c r="BG323" s="181">
        <f>IF(N323="zákl. přenesená",J323,0)</f>
        <v>0</v>
      </c>
      <c r="BH323" s="181">
        <f>IF(N323="sníž. přenesená",J323,0)</f>
        <v>0</v>
      </c>
      <c r="BI323" s="181">
        <f>IF(N323="nulová",J323,0)</f>
        <v>0</v>
      </c>
      <c r="BJ323" s="180" t="s">
        <v>73</v>
      </c>
      <c r="BK323" s="181">
        <f t="shared" si="88"/>
        <v>0</v>
      </c>
      <c r="BL323" s="180" t="s">
        <v>114</v>
      </c>
      <c r="BM323" s="287" t="s">
        <v>408</v>
      </c>
    </row>
    <row r="324" spans="2:65" s="166" customFormat="1" ht="24">
      <c r="B324" s="167"/>
      <c r="C324" s="279">
        <f t="shared" si="89"/>
        <v>123</v>
      </c>
      <c r="D324" s="279" t="s">
        <v>105</v>
      </c>
      <c r="E324" s="280" t="s">
        <v>714</v>
      </c>
      <c r="F324" s="278" t="s">
        <v>715</v>
      </c>
      <c r="G324" s="281" t="s">
        <v>111</v>
      </c>
      <c r="H324" s="288">
        <v>5</v>
      </c>
      <c r="I324" s="282">
        <v>0</v>
      </c>
      <c r="J324" s="282">
        <f>ROUND(I324*H324,2)</f>
        <v>0</v>
      </c>
      <c r="K324" s="173"/>
      <c r="L324" s="174"/>
      <c r="M324" s="283" t="s">
        <v>1</v>
      </c>
      <c r="N324" s="284" t="s">
        <v>33</v>
      </c>
      <c r="O324" s="285">
        <v>0</v>
      </c>
      <c r="P324" s="285">
        <f>O324*H324</f>
        <v>0</v>
      </c>
      <c r="Q324" s="285">
        <v>0.00149</v>
      </c>
      <c r="R324" s="285">
        <f>Q324*H324</f>
        <v>0.00745</v>
      </c>
      <c r="S324" s="285">
        <v>0</v>
      </c>
      <c r="T324" s="286">
        <f>S324*H324</f>
        <v>0</v>
      </c>
      <c r="AR324" s="287" t="s">
        <v>115</v>
      </c>
      <c r="AT324" s="287" t="s">
        <v>110</v>
      </c>
      <c r="AU324" s="287" t="s">
        <v>75</v>
      </c>
      <c r="AY324" s="180" t="s">
        <v>104</v>
      </c>
      <c r="BE324" s="181">
        <f>IF(N324="základní",J324,0)</f>
        <v>0</v>
      </c>
      <c r="BF324" s="181">
        <f>IF(N324="snížená",J324,0)</f>
        <v>0</v>
      </c>
      <c r="BG324" s="181">
        <f>IF(N324="zákl. přenesená",J324,0)</f>
        <v>0</v>
      </c>
      <c r="BH324" s="181">
        <f>IF(N324="sníž. přenesená",J324,0)</f>
        <v>0</v>
      </c>
      <c r="BI324" s="181">
        <f>IF(N324="nulová",J324,0)</f>
        <v>0</v>
      </c>
      <c r="BJ324" s="180" t="s">
        <v>73</v>
      </c>
      <c r="BK324" s="181">
        <f t="shared" si="88"/>
        <v>0</v>
      </c>
      <c r="BL324" s="180" t="s">
        <v>114</v>
      </c>
      <c r="BM324" s="287" t="s">
        <v>409</v>
      </c>
    </row>
    <row r="325" spans="2:63" s="166" customFormat="1" ht="11.25" customHeight="1">
      <c r="B325" s="167"/>
      <c r="C325" s="182"/>
      <c r="D325" s="183"/>
      <c r="E325" s="182"/>
      <c r="F325" s="184" t="s">
        <v>716</v>
      </c>
      <c r="G325" s="184"/>
      <c r="H325" s="292"/>
      <c r="I325" s="184"/>
      <c r="J325" s="182"/>
      <c r="K325" s="182"/>
      <c r="L325" s="174"/>
      <c r="M325" s="185"/>
      <c r="N325" s="186"/>
      <c r="O325" s="186"/>
      <c r="P325" s="186"/>
      <c r="Q325" s="186"/>
      <c r="R325" s="186"/>
      <c r="S325" s="186"/>
      <c r="T325" s="187"/>
      <c r="AT325" s="180" t="s">
        <v>107</v>
      </c>
      <c r="AU325" s="180" t="s">
        <v>75</v>
      </c>
      <c r="BK325" s="181">
        <f t="shared" si="88"/>
        <v>0</v>
      </c>
    </row>
    <row r="326" spans="2:65" s="166" customFormat="1" ht="24">
      <c r="B326" s="167"/>
      <c r="C326" s="279">
        <f>C324+1</f>
        <v>124</v>
      </c>
      <c r="D326" s="279" t="s">
        <v>105</v>
      </c>
      <c r="E326" s="280" t="s">
        <v>414</v>
      </c>
      <c r="F326" s="278" t="s">
        <v>415</v>
      </c>
      <c r="G326" s="281" t="s">
        <v>111</v>
      </c>
      <c r="H326" s="288">
        <v>1</v>
      </c>
      <c r="I326" s="282">
        <v>0</v>
      </c>
      <c r="J326" s="282">
        <f>ROUND(I326*H326,2)</f>
        <v>0</v>
      </c>
      <c r="K326" s="173"/>
      <c r="L326" s="174"/>
      <c r="M326" s="283" t="s">
        <v>1</v>
      </c>
      <c r="N326" s="284" t="s">
        <v>33</v>
      </c>
      <c r="O326" s="285">
        <v>4.857</v>
      </c>
      <c r="P326" s="285">
        <f>O326*H326</f>
        <v>4.857</v>
      </c>
      <c r="Q326" s="285">
        <v>0.01798</v>
      </c>
      <c r="R326" s="285">
        <f>Q326*H326</f>
        <v>0.01798</v>
      </c>
      <c r="S326" s="285">
        <v>0</v>
      </c>
      <c r="T326" s="286">
        <f>S326*H326</f>
        <v>0</v>
      </c>
      <c r="AR326" s="287" t="s">
        <v>114</v>
      </c>
      <c r="AT326" s="287" t="s">
        <v>105</v>
      </c>
      <c r="AU326" s="287" t="s">
        <v>75</v>
      </c>
      <c r="AY326" s="180" t="s">
        <v>104</v>
      </c>
      <c r="BE326" s="181">
        <f>IF(N326="základní",J326,0)</f>
        <v>0</v>
      </c>
      <c r="BF326" s="181">
        <f>IF(N326="snížená",J326,0)</f>
        <v>0</v>
      </c>
      <c r="BG326" s="181">
        <f>IF(N326="zákl. přenesená",J326,0)</f>
        <v>0</v>
      </c>
      <c r="BH326" s="181">
        <f>IF(N326="sníž. přenesená",J326,0)</f>
        <v>0</v>
      </c>
      <c r="BI326" s="181">
        <f>IF(N326="nulová",J326,0)</f>
        <v>0</v>
      </c>
      <c r="BJ326" s="180" t="s">
        <v>73</v>
      </c>
      <c r="BK326" s="181">
        <f t="shared" si="88"/>
        <v>0</v>
      </c>
      <c r="BL326" s="180" t="s">
        <v>114</v>
      </c>
      <c r="BM326" s="287" t="s">
        <v>410</v>
      </c>
    </row>
    <row r="327" spans="2:63" s="166" customFormat="1" ht="19.5">
      <c r="B327" s="167"/>
      <c r="C327" s="182"/>
      <c r="D327" s="183" t="s">
        <v>107</v>
      </c>
      <c r="E327" s="182"/>
      <c r="F327" s="184" t="s">
        <v>416</v>
      </c>
      <c r="G327" s="182"/>
      <c r="H327" s="289"/>
      <c r="I327" s="182"/>
      <c r="J327" s="182"/>
      <c r="K327" s="182"/>
      <c r="L327" s="174"/>
      <c r="M327" s="185"/>
      <c r="N327" s="186"/>
      <c r="O327" s="186"/>
      <c r="P327" s="186"/>
      <c r="Q327" s="186"/>
      <c r="R327" s="186"/>
      <c r="S327" s="186"/>
      <c r="T327" s="187"/>
      <c r="AT327" s="180" t="s">
        <v>107</v>
      </c>
      <c r="AU327" s="180" t="s">
        <v>75</v>
      </c>
      <c r="BK327" s="181">
        <f t="shared" si="88"/>
        <v>0</v>
      </c>
    </row>
    <row r="328" spans="2:65" s="166" customFormat="1" ht="60">
      <c r="B328" s="167"/>
      <c r="C328" s="279">
        <f>C326+1</f>
        <v>125</v>
      </c>
      <c r="D328" s="279" t="s">
        <v>105</v>
      </c>
      <c r="E328" s="280" t="s">
        <v>417</v>
      </c>
      <c r="F328" s="278" t="s">
        <v>668</v>
      </c>
      <c r="G328" s="281" t="s">
        <v>130</v>
      </c>
      <c r="H328" s="288">
        <v>1</v>
      </c>
      <c r="I328" s="282">
        <v>0</v>
      </c>
      <c r="J328" s="282">
        <f>ROUND(I328*H328,2)</f>
        <v>0</v>
      </c>
      <c r="K328" s="173"/>
      <c r="L328" s="174"/>
      <c r="M328" s="283" t="s">
        <v>1</v>
      </c>
      <c r="N328" s="284" t="s">
        <v>33</v>
      </c>
      <c r="O328" s="285">
        <v>0</v>
      </c>
      <c r="P328" s="285">
        <f>O328*H328</f>
        <v>0</v>
      </c>
      <c r="Q328" s="285">
        <v>0.258</v>
      </c>
      <c r="R328" s="285">
        <f>Q328*H328</f>
        <v>0.258</v>
      </c>
      <c r="S328" s="285">
        <v>0</v>
      </c>
      <c r="T328" s="286">
        <f>S328*H328</f>
        <v>0</v>
      </c>
      <c r="AR328" s="287" t="s">
        <v>115</v>
      </c>
      <c r="AT328" s="287" t="s">
        <v>110</v>
      </c>
      <c r="AU328" s="287" t="s">
        <v>75</v>
      </c>
      <c r="AY328" s="180" t="s">
        <v>104</v>
      </c>
      <c r="BE328" s="181">
        <f>IF(N328="základní",J328,0)</f>
        <v>0</v>
      </c>
      <c r="BF328" s="181">
        <f>IF(N328="snížená",J328,0)</f>
        <v>0</v>
      </c>
      <c r="BG328" s="181">
        <f>IF(N328="zákl. přenesená",J328,0)</f>
        <v>0</v>
      </c>
      <c r="BH328" s="181">
        <f>IF(N328="sníž. přenesená",J328,0)</f>
        <v>0</v>
      </c>
      <c r="BI328" s="181">
        <f>IF(N328="nulová",J328,0)</f>
        <v>0</v>
      </c>
      <c r="BJ328" s="180" t="s">
        <v>73</v>
      </c>
      <c r="BK328" s="181">
        <f t="shared" si="88"/>
        <v>0</v>
      </c>
      <c r="BL328" s="180" t="s">
        <v>114</v>
      </c>
      <c r="BM328" s="287" t="s">
        <v>411</v>
      </c>
    </row>
    <row r="329" spans="2:65" s="166" customFormat="1" ht="24">
      <c r="B329" s="167"/>
      <c r="C329" s="168">
        <f>C328+1</f>
        <v>126</v>
      </c>
      <c r="D329" s="168" t="s">
        <v>105</v>
      </c>
      <c r="E329" s="169" t="s">
        <v>669</v>
      </c>
      <c r="F329" s="170" t="s">
        <v>672</v>
      </c>
      <c r="G329" s="171" t="s">
        <v>130</v>
      </c>
      <c r="H329" s="288">
        <v>1</v>
      </c>
      <c r="I329" s="172">
        <v>0</v>
      </c>
      <c r="J329" s="172">
        <f>ROUND(I329*H329,2)</f>
        <v>0</v>
      </c>
      <c r="K329" s="196"/>
      <c r="L329" s="197"/>
      <c r="M329" s="198" t="s">
        <v>1</v>
      </c>
      <c r="N329" s="199" t="s">
        <v>33</v>
      </c>
      <c r="O329" s="200">
        <v>0</v>
      </c>
      <c r="P329" s="200">
        <f>O329*H329</f>
        <v>0</v>
      </c>
      <c r="Q329" s="200">
        <v>0.0016</v>
      </c>
      <c r="R329" s="200">
        <f>Q329*H329</f>
        <v>0.0016</v>
      </c>
      <c r="S329" s="200">
        <v>0</v>
      </c>
      <c r="T329" s="201">
        <f>S329*H329</f>
        <v>0</v>
      </c>
      <c r="AR329" s="179" t="s">
        <v>115</v>
      </c>
      <c r="AT329" s="179" t="s">
        <v>110</v>
      </c>
      <c r="AU329" s="179" t="s">
        <v>75</v>
      </c>
      <c r="AY329" s="180" t="s">
        <v>104</v>
      </c>
      <c r="BE329" s="181">
        <f>IF(N329="základní",J329,0)</f>
        <v>0</v>
      </c>
      <c r="BF329" s="181">
        <f>IF(N329="snížená",J329,0)</f>
        <v>0</v>
      </c>
      <c r="BG329" s="181">
        <f>IF(N329="zákl. přenesená",J329,0)</f>
        <v>0</v>
      </c>
      <c r="BH329" s="181">
        <f>IF(N329="sníž. přenesená",J329,0)</f>
        <v>0</v>
      </c>
      <c r="BI329" s="181">
        <f>IF(N329="nulová",J329,0)</f>
        <v>0</v>
      </c>
      <c r="BJ329" s="180" t="s">
        <v>73</v>
      </c>
      <c r="BK329" s="181">
        <f t="shared" si="88"/>
        <v>0</v>
      </c>
      <c r="BL329" s="180" t="s">
        <v>114</v>
      </c>
      <c r="BM329" s="179" t="s">
        <v>412</v>
      </c>
    </row>
    <row r="330" spans="2:65" s="166" customFormat="1" ht="24">
      <c r="B330" s="167"/>
      <c r="C330" s="168">
        <f aca="true" t="shared" si="90" ref="C330:C331">C329+1</f>
        <v>127</v>
      </c>
      <c r="D330" s="168" t="s">
        <v>105</v>
      </c>
      <c r="E330" s="169" t="s">
        <v>670</v>
      </c>
      <c r="F330" s="170" t="s">
        <v>671</v>
      </c>
      <c r="G330" s="171" t="s">
        <v>130</v>
      </c>
      <c r="H330" s="288">
        <v>1</v>
      </c>
      <c r="I330" s="172">
        <v>0</v>
      </c>
      <c r="J330" s="172">
        <f>ROUND(I330*H330,2)</f>
        <v>0</v>
      </c>
      <c r="K330" s="196"/>
      <c r="L330" s="197"/>
      <c r="M330" s="198" t="s">
        <v>1</v>
      </c>
      <c r="N330" s="199" t="s">
        <v>33</v>
      </c>
      <c r="O330" s="200">
        <v>0</v>
      </c>
      <c r="P330" s="200">
        <f>O330*H330</f>
        <v>0</v>
      </c>
      <c r="Q330" s="200">
        <v>0.258</v>
      </c>
      <c r="R330" s="200">
        <f>Q330*H330</f>
        <v>0.258</v>
      </c>
      <c r="S330" s="200">
        <v>0</v>
      </c>
      <c r="T330" s="201">
        <f>S330*H330</f>
        <v>0</v>
      </c>
      <c r="AR330" s="179" t="s">
        <v>115</v>
      </c>
      <c r="AT330" s="179" t="s">
        <v>110</v>
      </c>
      <c r="AU330" s="179" t="s">
        <v>75</v>
      </c>
      <c r="AY330" s="180" t="s">
        <v>104</v>
      </c>
      <c r="BE330" s="181">
        <f>IF(N330="základní",J330,0)</f>
        <v>0</v>
      </c>
      <c r="BF330" s="181">
        <f>IF(N330="snížená",J330,0)</f>
        <v>0</v>
      </c>
      <c r="BG330" s="181">
        <f>IF(N330="zákl. přenesená",J330,0)</f>
        <v>0</v>
      </c>
      <c r="BH330" s="181">
        <f>IF(N330="sníž. přenesená",J330,0)</f>
        <v>0</v>
      </c>
      <c r="BI330" s="181">
        <f>IF(N330="nulová",J330,0)</f>
        <v>0</v>
      </c>
      <c r="BJ330" s="180" t="s">
        <v>73</v>
      </c>
      <c r="BK330" s="181">
        <f t="shared" si="88"/>
        <v>0</v>
      </c>
      <c r="BL330" s="180" t="s">
        <v>114</v>
      </c>
      <c r="BM330" s="179" t="s">
        <v>413</v>
      </c>
    </row>
    <row r="331" spans="2:65" s="166" customFormat="1" ht="24">
      <c r="B331" s="167"/>
      <c r="C331" s="168">
        <f t="shared" si="90"/>
        <v>128</v>
      </c>
      <c r="D331" s="168" t="s">
        <v>105</v>
      </c>
      <c r="E331" s="169" t="s">
        <v>418</v>
      </c>
      <c r="F331" s="170" t="s">
        <v>419</v>
      </c>
      <c r="G331" s="171" t="s">
        <v>112</v>
      </c>
      <c r="H331" s="288">
        <f>H235</f>
        <v>28</v>
      </c>
      <c r="I331" s="172">
        <v>0</v>
      </c>
      <c r="J331" s="172">
        <f>ROUND(I331*H331,2)</f>
        <v>0</v>
      </c>
      <c r="K331" s="173"/>
      <c r="L331" s="174"/>
      <c r="M331" s="175" t="s">
        <v>1</v>
      </c>
      <c r="N331" s="176" t="s">
        <v>33</v>
      </c>
      <c r="O331" s="177">
        <v>0.136</v>
      </c>
      <c r="P331" s="177">
        <f>O331*H331</f>
        <v>3.8080000000000003</v>
      </c>
      <c r="Q331" s="177">
        <v>0.00035</v>
      </c>
      <c r="R331" s="177">
        <f>Q331*H331</f>
        <v>0.0098</v>
      </c>
      <c r="S331" s="177">
        <v>0</v>
      </c>
      <c r="T331" s="178">
        <f>S331*H331</f>
        <v>0</v>
      </c>
      <c r="AR331" s="179" t="s">
        <v>114</v>
      </c>
      <c r="AT331" s="179" t="s">
        <v>105</v>
      </c>
      <c r="AU331" s="179" t="s">
        <v>75</v>
      </c>
      <c r="AY331" s="180" t="s">
        <v>104</v>
      </c>
      <c r="BE331" s="181">
        <f>IF(N331="základní",J331,0)</f>
        <v>0</v>
      </c>
      <c r="BF331" s="181">
        <f>IF(N331="snížená",J331,0)</f>
        <v>0</v>
      </c>
      <c r="BG331" s="181">
        <f>IF(N331="zákl. přenesená",J331,0)</f>
        <v>0</v>
      </c>
      <c r="BH331" s="181">
        <f>IF(N331="sníž. přenesená",J331,0)</f>
        <v>0</v>
      </c>
      <c r="BI331" s="181">
        <f>IF(N331="nulová",J331,0)</f>
        <v>0</v>
      </c>
      <c r="BJ331" s="180" t="s">
        <v>73</v>
      </c>
      <c r="BK331" s="181">
        <f t="shared" si="88"/>
        <v>0</v>
      </c>
      <c r="BL331" s="180" t="s">
        <v>114</v>
      </c>
      <c r="BM331" s="179" t="s">
        <v>420</v>
      </c>
    </row>
    <row r="332" spans="2:63" s="166" customFormat="1" ht="19.5">
      <c r="B332" s="167"/>
      <c r="C332" s="182"/>
      <c r="D332" s="183" t="s">
        <v>107</v>
      </c>
      <c r="E332" s="182"/>
      <c r="F332" s="184" t="s">
        <v>421</v>
      </c>
      <c r="G332" s="182"/>
      <c r="H332" s="289"/>
      <c r="I332" s="182"/>
      <c r="J332" s="182"/>
      <c r="K332" s="182"/>
      <c r="L332" s="174"/>
      <c r="M332" s="185"/>
      <c r="N332" s="186"/>
      <c r="O332" s="186"/>
      <c r="P332" s="186"/>
      <c r="Q332" s="186"/>
      <c r="R332" s="186"/>
      <c r="S332" s="186"/>
      <c r="T332" s="187"/>
      <c r="AT332" s="180" t="s">
        <v>107</v>
      </c>
      <c r="AU332" s="180" t="s">
        <v>75</v>
      </c>
      <c r="BK332" s="181">
        <f t="shared" si="88"/>
        <v>0</v>
      </c>
    </row>
    <row r="333" spans="2:65" s="166" customFormat="1" ht="12">
      <c r="B333" s="167"/>
      <c r="C333" s="168">
        <f>C331+1</f>
        <v>129</v>
      </c>
      <c r="D333" s="168" t="s">
        <v>105</v>
      </c>
      <c r="E333" s="169" t="s">
        <v>422</v>
      </c>
      <c r="F333" s="170" t="s">
        <v>423</v>
      </c>
      <c r="G333" s="171" t="s">
        <v>112</v>
      </c>
      <c r="H333" s="288">
        <f>H237+H238+H239+H240+H241+H242+H243+H244+H245</f>
        <v>397</v>
      </c>
      <c r="I333" s="172">
        <v>0</v>
      </c>
      <c r="J333" s="172">
        <f>ROUND(I333*H333,2)</f>
        <v>0</v>
      </c>
      <c r="K333" s="173"/>
      <c r="L333" s="174"/>
      <c r="M333" s="175" t="s">
        <v>1</v>
      </c>
      <c r="N333" s="176" t="s">
        <v>33</v>
      </c>
      <c r="O333" s="177">
        <v>0.082</v>
      </c>
      <c r="P333" s="177">
        <f>O333*H333</f>
        <v>32.554</v>
      </c>
      <c r="Q333" s="177">
        <v>1E-05</v>
      </c>
      <c r="R333" s="177">
        <f>Q333*H333</f>
        <v>0.0039700000000000004</v>
      </c>
      <c r="S333" s="177">
        <v>0</v>
      </c>
      <c r="T333" s="178">
        <f>S333*H333</f>
        <v>0</v>
      </c>
      <c r="AR333" s="179" t="s">
        <v>114</v>
      </c>
      <c r="AT333" s="179" t="s">
        <v>105</v>
      </c>
      <c r="AU333" s="179" t="s">
        <v>75</v>
      </c>
      <c r="AY333" s="180" t="s">
        <v>104</v>
      </c>
      <c r="BE333" s="181">
        <f>IF(N333="základní",J333,0)</f>
        <v>0</v>
      </c>
      <c r="BF333" s="181">
        <f>IF(N333="snížená",J333,0)</f>
        <v>0</v>
      </c>
      <c r="BG333" s="181">
        <f>IF(N333="zákl. přenesená",J333,0)</f>
        <v>0</v>
      </c>
      <c r="BH333" s="181">
        <f>IF(N333="sníž. přenesená",J333,0)</f>
        <v>0</v>
      </c>
      <c r="BI333" s="181">
        <f>IF(N333="nulová",J333,0)</f>
        <v>0</v>
      </c>
      <c r="BJ333" s="180" t="s">
        <v>73</v>
      </c>
      <c r="BK333" s="181">
        <f t="shared" si="88"/>
        <v>0</v>
      </c>
      <c r="BL333" s="180" t="s">
        <v>114</v>
      </c>
      <c r="BM333" s="179" t="s">
        <v>424</v>
      </c>
    </row>
    <row r="334" spans="2:63" s="166" customFormat="1" ht="19.5">
      <c r="B334" s="167"/>
      <c r="C334" s="182"/>
      <c r="D334" s="183" t="s">
        <v>107</v>
      </c>
      <c r="E334" s="182"/>
      <c r="F334" s="184" t="s">
        <v>425</v>
      </c>
      <c r="G334" s="182"/>
      <c r="H334" s="289"/>
      <c r="I334" s="182"/>
      <c r="J334" s="182"/>
      <c r="K334" s="182"/>
      <c r="L334" s="174"/>
      <c r="M334" s="185"/>
      <c r="N334" s="186"/>
      <c r="O334" s="186"/>
      <c r="P334" s="186"/>
      <c r="Q334" s="186"/>
      <c r="R334" s="186"/>
      <c r="S334" s="186"/>
      <c r="T334" s="187"/>
      <c r="AT334" s="180" t="s">
        <v>107</v>
      </c>
      <c r="AU334" s="180" t="s">
        <v>75</v>
      </c>
      <c r="BK334" s="181">
        <f t="shared" si="88"/>
        <v>0</v>
      </c>
    </row>
    <row r="335" spans="2:65" s="166" customFormat="1" ht="24">
      <c r="B335" s="167"/>
      <c r="C335" s="168">
        <f>C333+1</f>
        <v>130</v>
      </c>
      <c r="D335" s="168" t="s">
        <v>105</v>
      </c>
      <c r="E335" s="169" t="s">
        <v>426</v>
      </c>
      <c r="F335" s="170" t="s">
        <v>427</v>
      </c>
      <c r="G335" s="171" t="s">
        <v>108</v>
      </c>
      <c r="H335" s="288">
        <v>3.216</v>
      </c>
      <c r="I335" s="172">
        <v>0</v>
      </c>
      <c r="J335" s="172">
        <f>ROUND(I335*H335,2)</f>
        <v>0</v>
      </c>
      <c r="K335" s="173"/>
      <c r="L335" s="174"/>
      <c r="M335" s="175" t="s">
        <v>1</v>
      </c>
      <c r="N335" s="176" t="s">
        <v>33</v>
      </c>
      <c r="O335" s="177">
        <v>1.327</v>
      </c>
      <c r="P335" s="177">
        <f>O335*H335</f>
        <v>4.267632</v>
      </c>
      <c r="Q335" s="177">
        <v>0</v>
      </c>
      <c r="R335" s="177">
        <f>Q335*H335</f>
        <v>0</v>
      </c>
      <c r="S335" s="177">
        <v>0</v>
      </c>
      <c r="T335" s="178">
        <f>S335*H335</f>
        <v>0</v>
      </c>
      <c r="AR335" s="179" t="s">
        <v>114</v>
      </c>
      <c r="AT335" s="179" t="s">
        <v>105</v>
      </c>
      <c r="AU335" s="179" t="s">
        <v>75</v>
      </c>
      <c r="AY335" s="180" t="s">
        <v>104</v>
      </c>
      <c r="BE335" s="181">
        <f>IF(N335="základní",J335,0)</f>
        <v>0</v>
      </c>
      <c r="BF335" s="181">
        <f>IF(N335="snížená",J335,0)</f>
        <v>0</v>
      </c>
      <c r="BG335" s="181">
        <f>IF(N335="zákl. přenesená",J335,0)</f>
        <v>0</v>
      </c>
      <c r="BH335" s="181">
        <f>IF(N335="sníž. přenesená",J335,0)</f>
        <v>0</v>
      </c>
      <c r="BI335" s="181">
        <f>IF(N335="nulová",J335,0)</f>
        <v>0</v>
      </c>
      <c r="BJ335" s="180" t="s">
        <v>73</v>
      </c>
      <c r="BK335" s="181">
        <f t="shared" si="88"/>
        <v>0</v>
      </c>
      <c r="BL335" s="180" t="s">
        <v>114</v>
      </c>
      <c r="BM335" s="179" t="s">
        <v>428</v>
      </c>
    </row>
    <row r="336" spans="2:47" s="166" customFormat="1" ht="29.25">
      <c r="B336" s="167"/>
      <c r="C336" s="182"/>
      <c r="D336" s="183" t="s">
        <v>107</v>
      </c>
      <c r="E336" s="182"/>
      <c r="F336" s="184" t="s">
        <v>429</v>
      </c>
      <c r="G336" s="182"/>
      <c r="H336" s="289"/>
      <c r="I336" s="182"/>
      <c r="J336" s="182"/>
      <c r="K336" s="182"/>
      <c r="L336" s="174"/>
      <c r="M336" s="185"/>
      <c r="N336" s="186"/>
      <c r="O336" s="186"/>
      <c r="P336" s="186"/>
      <c r="Q336" s="186"/>
      <c r="R336" s="186"/>
      <c r="S336" s="186"/>
      <c r="T336" s="187"/>
      <c r="AT336" s="180" t="s">
        <v>107</v>
      </c>
      <c r="AU336" s="180" t="s">
        <v>75</v>
      </c>
    </row>
    <row r="337" spans="2:63" s="207" customFormat="1" ht="12.75">
      <c r="B337" s="208"/>
      <c r="C337" s="209"/>
      <c r="D337" s="210" t="s">
        <v>67</v>
      </c>
      <c r="E337" s="211" t="s">
        <v>430</v>
      </c>
      <c r="F337" s="211" t="s">
        <v>431</v>
      </c>
      <c r="G337" s="209"/>
      <c r="H337" s="291"/>
      <c r="I337" s="209"/>
      <c r="J337" s="234">
        <f>BK337</f>
        <v>0</v>
      </c>
      <c r="K337" s="209"/>
      <c r="L337" s="212"/>
      <c r="M337" s="213"/>
      <c r="N337" s="214"/>
      <c r="O337" s="214"/>
      <c r="P337" s="215">
        <f>SUM(P338:P394)</f>
        <v>27.068856</v>
      </c>
      <c r="Q337" s="214"/>
      <c r="R337" s="215">
        <f>SUM(R338:R394)</f>
        <v>0.24966332</v>
      </c>
      <c r="S337" s="214"/>
      <c r="T337" s="216">
        <f>SUM(T338:T394)</f>
        <v>0</v>
      </c>
      <c r="V337" s="294"/>
      <c r="AR337" s="217" t="s">
        <v>75</v>
      </c>
      <c r="AT337" s="218" t="s">
        <v>67</v>
      </c>
      <c r="AU337" s="218" t="s">
        <v>73</v>
      </c>
      <c r="AY337" s="217" t="s">
        <v>104</v>
      </c>
      <c r="BK337" s="181">
        <f>SUM(BK338:BK394)</f>
        <v>0</v>
      </c>
    </row>
    <row r="338" spans="2:65" s="166" customFormat="1" ht="12">
      <c r="B338" s="167"/>
      <c r="C338" s="168">
        <f>C335+1</f>
        <v>131</v>
      </c>
      <c r="D338" s="168" t="s">
        <v>105</v>
      </c>
      <c r="E338" s="169" t="s">
        <v>436</v>
      </c>
      <c r="F338" s="170" t="s">
        <v>437</v>
      </c>
      <c r="G338" s="171" t="s">
        <v>130</v>
      </c>
      <c r="H338" s="288">
        <v>1</v>
      </c>
      <c r="I338" s="172">
        <v>0</v>
      </c>
      <c r="J338" s="172">
        <f>ROUND(I338*H338,2)</f>
        <v>0</v>
      </c>
      <c r="K338" s="173"/>
      <c r="L338" s="174"/>
      <c r="M338" s="175" t="s">
        <v>1</v>
      </c>
      <c r="N338" s="176" t="s">
        <v>33</v>
      </c>
      <c r="O338" s="177">
        <v>2.54</v>
      </c>
      <c r="P338" s="177">
        <f>O338*H338</f>
        <v>2.54</v>
      </c>
      <c r="Q338" s="177">
        <v>0.00062</v>
      </c>
      <c r="R338" s="177">
        <f>Q338*H338</f>
        <v>0.00062</v>
      </c>
      <c r="S338" s="177">
        <v>0</v>
      </c>
      <c r="T338" s="178">
        <f>S338*H338</f>
        <v>0</v>
      </c>
      <c r="AR338" s="179" t="s">
        <v>114</v>
      </c>
      <c r="AT338" s="179" t="s">
        <v>105</v>
      </c>
      <c r="AU338" s="179" t="s">
        <v>75</v>
      </c>
      <c r="AY338" s="180" t="s">
        <v>104</v>
      </c>
      <c r="BE338" s="181">
        <f>IF(N338="základní",J338,0)</f>
        <v>0</v>
      </c>
      <c r="BF338" s="181">
        <f>IF(N338="snížená",J338,0)</f>
        <v>0</v>
      </c>
      <c r="BG338" s="181">
        <f>IF(N338="zákl. přenesená",J338,0)</f>
        <v>0</v>
      </c>
      <c r="BH338" s="181">
        <f>IF(N338="sníž. přenesená",J338,0)</f>
        <v>0</v>
      </c>
      <c r="BI338" s="181">
        <f>IF(N338="nulová",J338,0)</f>
        <v>0</v>
      </c>
      <c r="BJ338" s="180" t="s">
        <v>73</v>
      </c>
      <c r="BK338" s="181">
        <f>ROUND(I338*H338,2)</f>
        <v>0</v>
      </c>
      <c r="BL338" s="180" t="s">
        <v>114</v>
      </c>
      <c r="BM338" s="179" t="s">
        <v>432</v>
      </c>
    </row>
    <row r="339" spans="2:63" s="166" customFormat="1" ht="19.5">
      <c r="B339" s="167"/>
      <c r="C339" s="182"/>
      <c r="D339" s="183" t="s">
        <v>107</v>
      </c>
      <c r="E339" s="182"/>
      <c r="F339" s="184" t="s">
        <v>439</v>
      </c>
      <c r="G339" s="182"/>
      <c r="H339" s="289"/>
      <c r="I339" s="182"/>
      <c r="J339" s="182"/>
      <c r="K339" s="182"/>
      <c r="L339" s="174"/>
      <c r="M339" s="185"/>
      <c r="N339" s="186"/>
      <c r="O339" s="186"/>
      <c r="P339" s="186"/>
      <c r="Q339" s="186"/>
      <c r="R339" s="186"/>
      <c r="S339" s="186"/>
      <c r="T339" s="187"/>
      <c r="AT339" s="180" t="s">
        <v>107</v>
      </c>
      <c r="AU339" s="180" t="s">
        <v>75</v>
      </c>
      <c r="BK339" s="181">
        <f aca="true" t="shared" si="91" ref="BK339:BK391">ROUND(I339*H339,2)</f>
        <v>0</v>
      </c>
    </row>
    <row r="340" spans="2:65" s="166" customFormat="1" ht="24">
      <c r="B340" s="167"/>
      <c r="C340" s="168">
        <f>C338+1</f>
        <v>132</v>
      </c>
      <c r="D340" s="168" t="s">
        <v>105</v>
      </c>
      <c r="E340" s="169" t="s">
        <v>594</v>
      </c>
      <c r="F340" s="170" t="s">
        <v>593</v>
      </c>
      <c r="G340" s="171" t="s">
        <v>130</v>
      </c>
      <c r="H340" s="288">
        <v>1</v>
      </c>
      <c r="I340" s="172">
        <v>0</v>
      </c>
      <c r="J340" s="172">
        <f>ROUND(I340*H340,2)</f>
        <v>0</v>
      </c>
      <c r="K340" s="173"/>
      <c r="L340" s="174"/>
      <c r="M340" s="205" t="s">
        <v>1</v>
      </c>
      <c r="N340" s="206" t="s">
        <v>33</v>
      </c>
      <c r="O340" s="200">
        <v>2.54</v>
      </c>
      <c r="P340" s="200">
        <f>O340*H340</f>
        <v>2.54</v>
      </c>
      <c r="Q340" s="200">
        <v>0.0064</v>
      </c>
      <c r="R340" s="200">
        <f>Q340*H340</f>
        <v>0.0064</v>
      </c>
      <c r="S340" s="200">
        <v>0</v>
      </c>
      <c r="T340" s="201">
        <f>S340*H340</f>
        <v>0</v>
      </c>
      <c r="AR340" s="179" t="s">
        <v>114</v>
      </c>
      <c r="AT340" s="179" t="s">
        <v>105</v>
      </c>
      <c r="AU340" s="179" t="s">
        <v>75</v>
      </c>
      <c r="AY340" s="180" t="s">
        <v>104</v>
      </c>
      <c r="BE340" s="181">
        <f>IF(N340="základní",J340,0)</f>
        <v>0</v>
      </c>
      <c r="BF340" s="181">
        <f>IF(N340="snížená",J340,0)</f>
        <v>0</v>
      </c>
      <c r="BG340" s="181">
        <f>IF(N340="zákl. přenesená",J340,0)</f>
        <v>0</v>
      </c>
      <c r="BH340" s="181">
        <f>IF(N340="sníž. přenesená",J340,0)</f>
        <v>0</v>
      </c>
      <c r="BI340" s="181">
        <f>IF(N340="nulová",J340,0)</f>
        <v>0</v>
      </c>
      <c r="BJ340" s="180" t="s">
        <v>73</v>
      </c>
      <c r="BK340" s="181">
        <f t="shared" si="91"/>
        <v>0</v>
      </c>
      <c r="BL340" s="180" t="s">
        <v>114</v>
      </c>
      <c r="BM340" s="179" t="s">
        <v>433</v>
      </c>
    </row>
    <row r="341" spans="2:65" s="166" customFormat="1" ht="19.5">
      <c r="B341" s="167"/>
      <c r="C341" s="182"/>
      <c r="D341" s="183" t="s">
        <v>107</v>
      </c>
      <c r="E341" s="182"/>
      <c r="F341" s="184" t="s">
        <v>441</v>
      </c>
      <c r="G341" s="182"/>
      <c r="H341" s="289"/>
      <c r="I341" s="182"/>
      <c r="J341" s="182"/>
      <c r="K341" s="196"/>
      <c r="L341" s="197"/>
      <c r="M341" s="198" t="s">
        <v>1</v>
      </c>
      <c r="N341" s="199" t="s">
        <v>33</v>
      </c>
      <c r="O341" s="200">
        <v>0</v>
      </c>
      <c r="P341" s="200">
        <f>O341*H341</f>
        <v>0</v>
      </c>
      <c r="Q341" s="200">
        <v>0.0017</v>
      </c>
      <c r="R341" s="200">
        <f>Q341*H341</f>
        <v>0</v>
      </c>
      <c r="S341" s="200">
        <v>0</v>
      </c>
      <c r="T341" s="201">
        <f>S341*H341</f>
        <v>0</v>
      </c>
      <c r="AR341" s="179" t="s">
        <v>115</v>
      </c>
      <c r="AT341" s="179" t="s">
        <v>110</v>
      </c>
      <c r="AU341" s="179" t="s">
        <v>75</v>
      </c>
      <c r="AY341" s="180" t="s">
        <v>104</v>
      </c>
      <c r="BE341" s="181">
        <f>IF(N341="základní",J341,0)</f>
        <v>0</v>
      </c>
      <c r="BF341" s="181">
        <f>IF(N341="snížená",J341,0)</f>
        <v>0</v>
      </c>
      <c r="BG341" s="181">
        <f>IF(N341="zákl. přenesená",J341,0)</f>
        <v>0</v>
      </c>
      <c r="BH341" s="181">
        <f>IF(N341="sníž. přenesená",J341,0)</f>
        <v>0</v>
      </c>
      <c r="BI341" s="181">
        <f>IF(N341="nulová",J341,0)</f>
        <v>0</v>
      </c>
      <c r="BJ341" s="180" t="s">
        <v>73</v>
      </c>
      <c r="BK341" s="181">
        <f t="shared" si="91"/>
        <v>0</v>
      </c>
      <c r="BL341" s="180" t="s">
        <v>114</v>
      </c>
      <c r="BM341" s="179" t="s">
        <v>434</v>
      </c>
    </row>
    <row r="342" spans="2:63" s="166" customFormat="1" ht="12">
      <c r="B342" s="167"/>
      <c r="C342" s="168">
        <f>C340+1</f>
        <v>133</v>
      </c>
      <c r="D342" s="168" t="s">
        <v>105</v>
      </c>
      <c r="E342" s="169" t="s">
        <v>442</v>
      </c>
      <c r="F342" s="170" t="s">
        <v>443</v>
      </c>
      <c r="G342" s="171" t="s">
        <v>130</v>
      </c>
      <c r="H342" s="288">
        <v>1</v>
      </c>
      <c r="I342" s="172">
        <v>0</v>
      </c>
      <c r="J342" s="172">
        <f>ROUND(I342*H342,2)</f>
        <v>0</v>
      </c>
      <c r="K342" s="182"/>
      <c r="L342" s="174"/>
      <c r="M342" s="185"/>
      <c r="N342" s="186"/>
      <c r="O342" s="186"/>
      <c r="P342" s="186"/>
      <c r="Q342" s="186"/>
      <c r="R342" s="186"/>
      <c r="S342" s="186"/>
      <c r="T342" s="187"/>
      <c r="AT342" s="180" t="s">
        <v>107</v>
      </c>
      <c r="AU342" s="180" t="s">
        <v>75</v>
      </c>
      <c r="BK342" s="181">
        <f t="shared" si="91"/>
        <v>0</v>
      </c>
    </row>
    <row r="343" spans="2:65" s="166" customFormat="1" ht="19.5">
      <c r="B343" s="167"/>
      <c r="C343" s="182"/>
      <c r="D343" s="183" t="s">
        <v>107</v>
      </c>
      <c r="E343" s="182"/>
      <c r="F343" s="184" t="s">
        <v>445</v>
      </c>
      <c r="G343" s="182"/>
      <c r="H343" s="289"/>
      <c r="I343" s="182"/>
      <c r="J343" s="182"/>
      <c r="K343" s="173"/>
      <c r="L343" s="174"/>
      <c r="M343" s="175" t="s">
        <v>1</v>
      </c>
      <c r="N343" s="176" t="s">
        <v>33</v>
      </c>
      <c r="O343" s="177">
        <v>0</v>
      </c>
      <c r="P343" s="177">
        <f>O343*H343</f>
        <v>0</v>
      </c>
      <c r="Q343" s="177">
        <v>0.0006</v>
      </c>
      <c r="R343" s="177">
        <f>Q343*H343</f>
        <v>0</v>
      </c>
      <c r="S343" s="177">
        <v>0</v>
      </c>
      <c r="T343" s="178">
        <f>S343*H343</f>
        <v>0</v>
      </c>
      <c r="AR343" s="179" t="s">
        <v>115</v>
      </c>
      <c r="AT343" s="179" t="s">
        <v>110</v>
      </c>
      <c r="AU343" s="179" t="s">
        <v>75</v>
      </c>
      <c r="AY343" s="180" t="s">
        <v>104</v>
      </c>
      <c r="BE343" s="181">
        <f>IF(N343="základní",J343,0)</f>
        <v>0</v>
      </c>
      <c r="BF343" s="181">
        <f>IF(N343="snížená",J343,0)</f>
        <v>0</v>
      </c>
      <c r="BG343" s="181">
        <f>IF(N343="zákl. přenesená",J343,0)</f>
        <v>0</v>
      </c>
      <c r="BH343" s="181">
        <f>IF(N343="sníž. přenesená",J343,0)</f>
        <v>0</v>
      </c>
      <c r="BI343" s="181">
        <f>IF(N343="nulová",J343,0)</f>
        <v>0</v>
      </c>
      <c r="BJ343" s="180" t="s">
        <v>73</v>
      </c>
      <c r="BK343" s="181">
        <f t="shared" si="91"/>
        <v>0</v>
      </c>
      <c r="BL343" s="180" t="s">
        <v>114</v>
      </c>
      <c r="BM343" s="179" t="s">
        <v>435</v>
      </c>
    </row>
    <row r="344" spans="2:63" s="166" customFormat="1" ht="24">
      <c r="B344" s="167"/>
      <c r="C344" s="168">
        <f>C342+1</f>
        <v>134</v>
      </c>
      <c r="D344" s="168" t="s">
        <v>105</v>
      </c>
      <c r="E344" s="169" t="s">
        <v>446</v>
      </c>
      <c r="F344" s="170" t="s">
        <v>447</v>
      </c>
      <c r="G344" s="171" t="s">
        <v>130</v>
      </c>
      <c r="H344" s="288">
        <v>1</v>
      </c>
      <c r="I344" s="172">
        <v>0</v>
      </c>
      <c r="J344" s="172">
        <f>ROUND(I344*H344,2)</f>
        <v>0</v>
      </c>
      <c r="K344" s="182"/>
      <c r="L344" s="174"/>
      <c r="M344" s="185"/>
      <c r="N344" s="186"/>
      <c r="O344" s="186"/>
      <c r="P344" s="186"/>
      <c r="Q344" s="186"/>
      <c r="R344" s="186"/>
      <c r="S344" s="186"/>
      <c r="T344" s="187"/>
      <c r="AT344" s="180" t="s">
        <v>107</v>
      </c>
      <c r="AU344" s="180" t="s">
        <v>75</v>
      </c>
      <c r="BK344" s="181">
        <f t="shared" si="91"/>
        <v>0</v>
      </c>
    </row>
    <row r="345" spans="2:65" s="166" customFormat="1" ht="19.5">
      <c r="B345" s="167"/>
      <c r="C345" s="182"/>
      <c r="D345" s="183" t="s">
        <v>107</v>
      </c>
      <c r="E345" s="182"/>
      <c r="F345" s="184" t="s">
        <v>449</v>
      </c>
      <c r="G345" s="182"/>
      <c r="H345" s="289"/>
      <c r="I345" s="182"/>
      <c r="J345" s="182"/>
      <c r="K345" s="173"/>
      <c r="L345" s="174"/>
      <c r="M345" s="175" t="s">
        <v>1</v>
      </c>
      <c r="N345" s="176" t="s">
        <v>33</v>
      </c>
      <c r="O345" s="177">
        <v>2.54</v>
      </c>
      <c r="P345" s="177">
        <f>O345*H345</f>
        <v>0</v>
      </c>
      <c r="Q345" s="177">
        <v>0.00088</v>
      </c>
      <c r="R345" s="177">
        <f>Q345*H345</f>
        <v>0</v>
      </c>
      <c r="S345" s="177">
        <v>0</v>
      </c>
      <c r="T345" s="178">
        <f>S345*H345</f>
        <v>0</v>
      </c>
      <c r="AR345" s="179" t="s">
        <v>114</v>
      </c>
      <c r="AT345" s="179" t="s">
        <v>105</v>
      </c>
      <c r="AU345" s="179" t="s">
        <v>75</v>
      </c>
      <c r="AY345" s="180" t="s">
        <v>104</v>
      </c>
      <c r="BE345" s="181">
        <f>IF(N345="základní",J345,0)</f>
        <v>0</v>
      </c>
      <c r="BF345" s="181">
        <f>IF(N345="snížená",J345,0)</f>
        <v>0</v>
      </c>
      <c r="BG345" s="181">
        <f>IF(N345="zákl. přenesená",J345,0)</f>
        <v>0</v>
      </c>
      <c r="BH345" s="181">
        <f>IF(N345="sníž. přenesená",J345,0)</f>
        <v>0</v>
      </c>
      <c r="BI345" s="181">
        <f>IF(N345="nulová",J345,0)</f>
        <v>0</v>
      </c>
      <c r="BJ345" s="180" t="s">
        <v>73</v>
      </c>
      <c r="BK345" s="181">
        <f t="shared" si="91"/>
        <v>0</v>
      </c>
      <c r="BL345" s="180" t="s">
        <v>114</v>
      </c>
      <c r="BM345" s="179" t="s">
        <v>438</v>
      </c>
    </row>
    <row r="346" spans="2:63" s="166" customFormat="1" ht="24">
      <c r="B346" s="167"/>
      <c r="C346" s="168">
        <f>C344+1</f>
        <v>135</v>
      </c>
      <c r="D346" s="168" t="s">
        <v>105</v>
      </c>
      <c r="E346" s="169" t="s">
        <v>450</v>
      </c>
      <c r="F346" s="170" t="s">
        <v>451</v>
      </c>
      <c r="G346" s="171" t="s">
        <v>111</v>
      </c>
      <c r="H346" s="288">
        <v>1</v>
      </c>
      <c r="I346" s="172">
        <v>0</v>
      </c>
      <c r="J346" s="172">
        <f>ROUND(I346*H346,2)</f>
        <v>0</v>
      </c>
      <c r="K346" s="182"/>
      <c r="L346" s="174"/>
      <c r="M346" s="185"/>
      <c r="N346" s="186"/>
      <c r="O346" s="186"/>
      <c r="P346" s="186"/>
      <c r="Q346" s="186"/>
      <c r="R346" s="186"/>
      <c r="S346" s="186"/>
      <c r="T346" s="187"/>
      <c r="AT346" s="180" t="s">
        <v>107</v>
      </c>
      <c r="AU346" s="180" t="s">
        <v>75</v>
      </c>
      <c r="BK346" s="181">
        <f t="shared" si="91"/>
        <v>0</v>
      </c>
    </row>
    <row r="347" spans="2:65" s="166" customFormat="1" ht="19.5">
      <c r="B347" s="167"/>
      <c r="C347" s="182"/>
      <c r="D347" s="183" t="s">
        <v>107</v>
      </c>
      <c r="E347" s="182"/>
      <c r="F347" s="184" t="s">
        <v>453</v>
      </c>
      <c r="G347" s="182"/>
      <c r="H347" s="289"/>
      <c r="I347" s="182"/>
      <c r="J347" s="182"/>
      <c r="K347" s="173"/>
      <c r="L347" s="174"/>
      <c r="M347" s="175" t="s">
        <v>1</v>
      </c>
      <c r="N347" s="176" t="s">
        <v>33</v>
      </c>
      <c r="O347" s="177">
        <v>2.54</v>
      </c>
      <c r="P347" s="177">
        <f>O347*H347</f>
        <v>0</v>
      </c>
      <c r="Q347" s="177">
        <v>0.01388</v>
      </c>
      <c r="R347" s="177">
        <f>Q347*H347</f>
        <v>0</v>
      </c>
      <c r="S347" s="177">
        <v>0</v>
      </c>
      <c r="T347" s="178">
        <f>S347*H347</f>
        <v>0</v>
      </c>
      <c r="AR347" s="179" t="s">
        <v>114</v>
      </c>
      <c r="AT347" s="179" t="s">
        <v>105</v>
      </c>
      <c r="AU347" s="179" t="s">
        <v>75</v>
      </c>
      <c r="AY347" s="180" t="s">
        <v>104</v>
      </c>
      <c r="BE347" s="181">
        <f>IF(N347="základní",J347,0)</f>
        <v>0</v>
      </c>
      <c r="BF347" s="181">
        <f>IF(N347="snížená",J347,0)</f>
        <v>0</v>
      </c>
      <c r="BG347" s="181">
        <f>IF(N347="zákl. přenesená",J347,0)</f>
        <v>0</v>
      </c>
      <c r="BH347" s="181">
        <f>IF(N347="sníž. přenesená",J347,0)</f>
        <v>0</v>
      </c>
      <c r="BI347" s="181">
        <f>IF(N347="nulová",J347,0)</f>
        <v>0</v>
      </c>
      <c r="BJ347" s="180" t="s">
        <v>73</v>
      </c>
      <c r="BK347" s="181">
        <f t="shared" si="91"/>
        <v>0</v>
      </c>
      <c r="BL347" s="180" t="s">
        <v>114</v>
      </c>
      <c r="BM347" s="179" t="s">
        <v>440</v>
      </c>
    </row>
    <row r="348" spans="2:63" s="166" customFormat="1" ht="12">
      <c r="B348" s="167"/>
      <c r="C348" s="168">
        <f>C346+1</f>
        <v>136</v>
      </c>
      <c r="D348" s="168" t="s">
        <v>105</v>
      </c>
      <c r="E348" s="169" t="s">
        <v>454</v>
      </c>
      <c r="F348" s="170" t="s">
        <v>455</v>
      </c>
      <c r="G348" s="171" t="s">
        <v>111</v>
      </c>
      <c r="H348" s="288">
        <v>1</v>
      </c>
      <c r="I348" s="172">
        <v>0</v>
      </c>
      <c r="J348" s="172">
        <f>ROUND(I348*H348,2)</f>
        <v>0</v>
      </c>
      <c r="K348" s="182"/>
      <c r="L348" s="174"/>
      <c r="M348" s="185"/>
      <c r="N348" s="186"/>
      <c r="O348" s="186"/>
      <c r="P348" s="186"/>
      <c r="Q348" s="186"/>
      <c r="R348" s="186"/>
      <c r="S348" s="186"/>
      <c r="T348" s="187"/>
      <c r="AT348" s="180" t="s">
        <v>107</v>
      </c>
      <c r="AU348" s="180" t="s">
        <v>75</v>
      </c>
      <c r="BK348" s="181">
        <f t="shared" si="91"/>
        <v>0</v>
      </c>
    </row>
    <row r="349" spans="2:65" s="166" customFormat="1" ht="24">
      <c r="B349" s="167"/>
      <c r="C349" s="168">
        <f>C348+1</f>
        <v>137</v>
      </c>
      <c r="D349" s="168" t="s">
        <v>105</v>
      </c>
      <c r="E349" s="169" t="s">
        <v>457</v>
      </c>
      <c r="F349" s="170" t="s">
        <v>458</v>
      </c>
      <c r="G349" s="171" t="s">
        <v>111</v>
      </c>
      <c r="H349" s="288">
        <v>1</v>
      </c>
      <c r="I349" s="172">
        <v>0</v>
      </c>
      <c r="J349" s="172">
        <f>ROUND(I349*H349,2)</f>
        <v>0</v>
      </c>
      <c r="K349" s="173"/>
      <c r="L349" s="174"/>
      <c r="M349" s="175" t="s">
        <v>1</v>
      </c>
      <c r="N349" s="176" t="s">
        <v>33</v>
      </c>
      <c r="O349" s="177">
        <v>2.4</v>
      </c>
      <c r="P349" s="177">
        <f>O349*H349</f>
        <v>2.4</v>
      </c>
      <c r="Q349" s="177">
        <v>0.00017</v>
      </c>
      <c r="R349" s="177">
        <f>Q349*H349</f>
        <v>0.00017</v>
      </c>
      <c r="S349" s="177">
        <v>0</v>
      </c>
      <c r="T349" s="178">
        <f>S349*H349</f>
        <v>0</v>
      </c>
      <c r="AR349" s="179" t="s">
        <v>114</v>
      </c>
      <c r="AT349" s="179" t="s">
        <v>105</v>
      </c>
      <c r="AU349" s="179" t="s">
        <v>75</v>
      </c>
      <c r="AY349" s="180" t="s">
        <v>104</v>
      </c>
      <c r="BE349" s="181">
        <f>IF(N349="základní",J349,0)</f>
        <v>0</v>
      </c>
      <c r="BF349" s="181">
        <f>IF(N349="snížená",J349,0)</f>
        <v>0</v>
      </c>
      <c r="BG349" s="181">
        <f>IF(N349="zákl. přenesená",J349,0)</f>
        <v>0</v>
      </c>
      <c r="BH349" s="181">
        <f>IF(N349="sníž. přenesená",J349,0)</f>
        <v>0</v>
      </c>
      <c r="BI349" s="181">
        <f>IF(N349="nulová",J349,0)</f>
        <v>0</v>
      </c>
      <c r="BJ349" s="180" t="s">
        <v>73</v>
      </c>
      <c r="BK349" s="181">
        <f t="shared" si="91"/>
        <v>0</v>
      </c>
      <c r="BL349" s="180" t="s">
        <v>114</v>
      </c>
      <c r="BM349" s="179" t="s">
        <v>444</v>
      </c>
    </row>
    <row r="350" spans="2:63" s="166" customFormat="1" ht="19.5">
      <c r="B350" s="167"/>
      <c r="C350" s="182"/>
      <c r="D350" s="183" t="s">
        <v>107</v>
      </c>
      <c r="E350" s="182"/>
      <c r="F350" s="184" t="s">
        <v>460</v>
      </c>
      <c r="G350" s="182"/>
      <c r="H350" s="289"/>
      <c r="I350" s="182"/>
      <c r="J350" s="182"/>
      <c r="K350" s="182"/>
      <c r="L350" s="174"/>
      <c r="M350" s="185"/>
      <c r="N350" s="186"/>
      <c r="O350" s="186"/>
      <c r="P350" s="186"/>
      <c r="Q350" s="186"/>
      <c r="R350" s="186"/>
      <c r="S350" s="186"/>
      <c r="T350" s="187"/>
      <c r="AT350" s="180" t="s">
        <v>107</v>
      </c>
      <c r="AU350" s="180" t="s">
        <v>75</v>
      </c>
      <c r="BK350" s="181">
        <f t="shared" si="91"/>
        <v>0</v>
      </c>
    </row>
    <row r="351" spans="2:65" s="166" customFormat="1" ht="12">
      <c r="B351" s="167"/>
      <c r="C351" s="168">
        <f>C349+1</f>
        <v>138</v>
      </c>
      <c r="D351" s="168" t="s">
        <v>105</v>
      </c>
      <c r="E351" s="169" t="s">
        <v>461</v>
      </c>
      <c r="F351" s="170" t="s">
        <v>462</v>
      </c>
      <c r="G351" s="171" t="s">
        <v>130</v>
      </c>
      <c r="H351" s="288">
        <v>1</v>
      </c>
      <c r="I351" s="172">
        <v>0</v>
      </c>
      <c r="J351" s="172">
        <f>ROUND(I351*H351,2)</f>
        <v>0</v>
      </c>
      <c r="K351" s="173"/>
      <c r="L351" s="174"/>
      <c r="M351" s="175" t="s">
        <v>1</v>
      </c>
      <c r="N351" s="176" t="s">
        <v>33</v>
      </c>
      <c r="O351" s="177">
        <v>2</v>
      </c>
      <c r="P351" s="177">
        <f>O351*H351</f>
        <v>2</v>
      </c>
      <c r="Q351" s="177">
        <v>0.02034</v>
      </c>
      <c r="R351" s="177">
        <f>Q351*H351</f>
        <v>0.02034</v>
      </c>
      <c r="S351" s="177">
        <v>0</v>
      </c>
      <c r="T351" s="178">
        <f>S351*H351</f>
        <v>0</v>
      </c>
      <c r="AR351" s="179" t="s">
        <v>114</v>
      </c>
      <c r="AT351" s="179" t="s">
        <v>105</v>
      </c>
      <c r="AU351" s="179" t="s">
        <v>75</v>
      </c>
      <c r="AY351" s="180" t="s">
        <v>104</v>
      </c>
      <c r="BE351" s="181">
        <f>IF(N351="základní",J351,0)</f>
        <v>0</v>
      </c>
      <c r="BF351" s="181">
        <f>IF(N351="snížená",J351,0)</f>
        <v>0</v>
      </c>
      <c r="BG351" s="181">
        <f>IF(N351="zákl. přenesená",J351,0)</f>
        <v>0</v>
      </c>
      <c r="BH351" s="181">
        <f>IF(N351="sníž. přenesená",J351,0)</f>
        <v>0</v>
      </c>
      <c r="BI351" s="181">
        <f>IF(N351="nulová",J351,0)</f>
        <v>0</v>
      </c>
      <c r="BJ351" s="180" t="s">
        <v>73</v>
      </c>
      <c r="BK351" s="181">
        <f t="shared" si="91"/>
        <v>0</v>
      </c>
      <c r="BL351" s="180" t="s">
        <v>114</v>
      </c>
      <c r="BM351" s="179" t="s">
        <v>448</v>
      </c>
    </row>
    <row r="352" spans="2:63" s="166" customFormat="1" ht="12">
      <c r="B352" s="167"/>
      <c r="C352" s="182"/>
      <c r="D352" s="183" t="s">
        <v>107</v>
      </c>
      <c r="E352" s="182"/>
      <c r="F352" s="184" t="s">
        <v>464</v>
      </c>
      <c r="G352" s="182"/>
      <c r="H352" s="289"/>
      <c r="I352" s="182"/>
      <c r="J352" s="182"/>
      <c r="K352" s="182"/>
      <c r="L352" s="174"/>
      <c r="M352" s="185"/>
      <c r="N352" s="186"/>
      <c r="O352" s="186"/>
      <c r="P352" s="186"/>
      <c r="Q352" s="186"/>
      <c r="R352" s="186"/>
      <c r="S352" s="186"/>
      <c r="T352" s="187"/>
      <c r="AT352" s="180" t="s">
        <v>107</v>
      </c>
      <c r="AU352" s="180" t="s">
        <v>75</v>
      </c>
      <c r="BK352" s="181">
        <f t="shared" si="91"/>
        <v>0</v>
      </c>
    </row>
    <row r="353" spans="2:65" s="166" customFormat="1" ht="24">
      <c r="B353" s="167"/>
      <c r="C353" s="168">
        <f>C351+1</f>
        <v>139</v>
      </c>
      <c r="D353" s="168" t="s">
        <v>105</v>
      </c>
      <c r="E353" s="169" t="s">
        <v>465</v>
      </c>
      <c r="F353" s="170" t="s">
        <v>466</v>
      </c>
      <c r="G353" s="171" t="s">
        <v>130</v>
      </c>
      <c r="H353" s="288">
        <v>1</v>
      </c>
      <c r="I353" s="172">
        <v>0</v>
      </c>
      <c r="J353" s="172">
        <f>ROUND(I353*H353,2)</f>
        <v>0</v>
      </c>
      <c r="K353" s="173"/>
      <c r="L353" s="174"/>
      <c r="M353" s="175" t="s">
        <v>1</v>
      </c>
      <c r="N353" s="176" t="s">
        <v>33</v>
      </c>
      <c r="O353" s="177">
        <v>0.339</v>
      </c>
      <c r="P353" s="177">
        <f>O353*H353</f>
        <v>0.339</v>
      </c>
      <c r="Q353" s="177">
        <v>0.00075</v>
      </c>
      <c r="R353" s="177">
        <f>Q353*H353</f>
        <v>0.00075</v>
      </c>
      <c r="S353" s="177">
        <v>0</v>
      </c>
      <c r="T353" s="178">
        <f>S353*H353</f>
        <v>0</v>
      </c>
      <c r="AR353" s="179" t="s">
        <v>114</v>
      </c>
      <c r="AT353" s="179" t="s">
        <v>105</v>
      </c>
      <c r="AU353" s="179" t="s">
        <v>75</v>
      </c>
      <c r="AY353" s="180" t="s">
        <v>104</v>
      </c>
      <c r="BE353" s="181">
        <f>IF(N353="základní",J353,0)</f>
        <v>0</v>
      </c>
      <c r="BF353" s="181">
        <f>IF(N353="snížená",J353,0)</f>
        <v>0</v>
      </c>
      <c r="BG353" s="181">
        <f>IF(N353="zákl. přenesená",J353,0)</f>
        <v>0</v>
      </c>
      <c r="BH353" s="181">
        <f>IF(N353="sníž. přenesená",J353,0)</f>
        <v>0</v>
      </c>
      <c r="BI353" s="181">
        <f>IF(N353="nulová",J353,0)</f>
        <v>0</v>
      </c>
      <c r="BJ353" s="180" t="s">
        <v>73</v>
      </c>
      <c r="BK353" s="181">
        <f t="shared" si="91"/>
        <v>0</v>
      </c>
      <c r="BL353" s="180" t="s">
        <v>114</v>
      </c>
      <c r="BM353" s="179" t="s">
        <v>452</v>
      </c>
    </row>
    <row r="354" spans="2:63" s="166" customFormat="1" ht="12">
      <c r="B354" s="167"/>
      <c r="C354" s="168">
        <f aca="true" t="shared" si="92" ref="C354:C355">C353+1</f>
        <v>140</v>
      </c>
      <c r="D354" s="168" t="s">
        <v>105</v>
      </c>
      <c r="E354" s="169" t="s">
        <v>467</v>
      </c>
      <c r="F354" s="170" t="s">
        <v>468</v>
      </c>
      <c r="G354" s="171" t="s">
        <v>111</v>
      </c>
      <c r="H354" s="288">
        <v>1</v>
      </c>
      <c r="I354" s="172">
        <v>0</v>
      </c>
      <c r="J354" s="172">
        <f>ROUND(I354*H354,2)</f>
        <v>0</v>
      </c>
      <c r="K354" s="182"/>
      <c r="L354" s="174"/>
      <c r="M354" s="185"/>
      <c r="N354" s="186"/>
      <c r="O354" s="186"/>
      <c r="P354" s="186"/>
      <c r="Q354" s="186"/>
      <c r="R354" s="186"/>
      <c r="S354" s="186"/>
      <c r="T354" s="187"/>
      <c r="AT354" s="180" t="s">
        <v>107</v>
      </c>
      <c r="AU354" s="180" t="s">
        <v>75</v>
      </c>
      <c r="BK354" s="181">
        <f t="shared" si="91"/>
        <v>0</v>
      </c>
    </row>
    <row r="355" spans="2:65" s="166" customFormat="1" ht="12">
      <c r="B355" s="167"/>
      <c r="C355" s="168">
        <f t="shared" si="92"/>
        <v>141</v>
      </c>
      <c r="D355" s="168" t="s">
        <v>105</v>
      </c>
      <c r="E355" s="169" t="s">
        <v>596</v>
      </c>
      <c r="F355" s="170" t="s">
        <v>597</v>
      </c>
      <c r="G355" s="171" t="s">
        <v>111</v>
      </c>
      <c r="H355" s="288">
        <f>4-2</f>
        <v>2</v>
      </c>
      <c r="I355" s="172">
        <v>0</v>
      </c>
      <c r="J355" s="172">
        <f>ROUND(I355*H355,2)</f>
        <v>0</v>
      </c>
      <c r="K355" s="173"/>
      <c r="L355" s="174"/>
      <c r="M355" s="175" t="s">
        <v>1</v>
      </c>
      <c r="N355" s="176" t="s">
        <v>33</v>
      </c>
      <c r="O355" s="177">
        <v>0.246</v>
      </c>
      <c r="P355" s="177">
        <f>O355*H355</f>
        <v>0.492</v>
      </c>
      <c r="Q355" s="177">
        <v>0.00016</v>
      </c>
      <c r="R355" s="177">
        <f>Q355*H355</f>
        <v>0.00032</v>
      </c>
      <c r="S355" s="177">
        <v>0</v>
      </c>
      <c r="T355" s="178">
        <f>S355*H355</f>
        <v>0</v>
      </c>
      <c r="AR355" s="179" t="s">
        <v>114</v>
      </c>
      <c r="AT355" s="179" t="s">
        <v>105</v>
      </c>
      <c r="AU355" s="179" t="s">
        <v>75</v>
      </c>
      <c r="AY355" s="180" t="s">
        <v>104</v>
      </c>
      <c r="BE355" s="181">
        <f>IF(N355="základní",J355,0)</f>
        <v>0</v>
      </c>
      <c r="BF355" s="181">
        <f>IF(N355="snížená",J355,0)</f>
        <v>0</v>
      </c>
      <c r="BG355" s="181">
        <f>IF(N355="zákl. přenesená",J355,0)</f>
        <v>0</v>
      </c>
      <c r="BH355" s="181">
        <f>IF(N355="sníž. přenesená",J355,0)</f>
        <v>0</v>
      </c>
      <c r="BI355" s="181">
        <f>IF(N355="nulová",J355,0)</f>
        <v>0</v>
      </c>
      <c r="BJ355" s="180" t="s">
        <v>73</v>
      </c>
      <c r="BK355" s="181">
        <f t="shared" si="91"/>
        <v>0</v>
      </c>
      <c r="BL355" s="180" t="s">
        <v>114</v>
      </c>
      <c r="BM355" s="179" t="s">
        <v>456</v>
      </c>
    </row>
    <row r="356" spans="2:65" s="166" customFormat="1" ht="19.5">
      <c r="B356" s="167"/>
      <c r="C356" s="182"/>
      <c r="D356" s="183" t="s">
        <v>107</v>
      </c>
      <c r="E356" s="182"/>
      <c r="F356" s="184" t="s">
        <v>471</v>
      </c>
      <c r="G356" s="182"/>
      <c r="H356" s="289"/>
      <c r="I356" s="182"/>
      <c r="J356" s="182"/>
      <c r="K356" s="173"/>
      <c r="L356" s="174"/>
      <c r="M356" s="175" t="s">
        <v>1</v>
      </c>
      <c r="N356" s="176" t="s">
        <v>33</v>
      </c>
      <c r="O356" s="177">
        <v>0.655</v>
      </c>
      <c r="P356" s="177">
        <f>O356*H356</f>
        <v>0</v>
      </c>
      <c r="Q356" s="177">
        <v>0.00013</v>
      </c>
      <c r="R356" s="177">
        <f>Q356*H356</f>
        <v>0</v>
      </c>
      <c r="S356" s="177">
        <v>0</v>
      </c>
      <c r="T356" s="178">
        <f>S356*H356</f>
        <v>0</v>
      </c>
      <c r="AR356" s="179" t="s">
        <v>114</v>
      </c>
      <c r="AT356" s="179" t="s">
        <v>105</v>
      </c>
      <c r="AU356" s="179" t="s">
        <v>75</v>
      </c>
      <c r="AY356" s="180" t="s">
        <v>104</v>
      </c>
      <c r="BE356" s="181">
        <f>IF(N356="základní",J356,0)</f>
        <v>0</v>
      </c>
      <c r="BF356" s="181">
        <f>IF(N356="snížená",J356,0)</f>
        <v>0</v>
      </c>
      <c r="BG356" s="181">
        <f>IF(N356="zákl. přenesená",J356,0)</f>
        <v>0</v>
      </c>
      <c r="BH356" s="181">
        <f>IF(N356="sníž. přenesená",J356,0)</f>
        <v>0</v>
      </c>
      <c r="BI356" s="181">
        <f>IF(N356="nulová",J356,0)</f>
        <v>0</v>
      </c>
      <c r="BJ356" s="180" t="s">
        <v>73</v>
      </c>
      <c r="BK356" s="181">
        <f t="shared" si="91"/>
        <v>0</v>
      </c>
      <c r="BL356" s="180" t="s">
        <v>114</v>
      </c>
      <c r="BM356" s="179" t="s">
        <v>459</v>
      </c>
    </row>
    <row r="357" spans="2:63" s="166" customFormat="1" ht="12">
      <c r="B357" s="167"/>
      <c r="C357" s="168">
        <f>C355+1</f>
        <v>142</v>
      </c>
      <c r="D357" s="168" t="s">
        <v>110</v>
      </c>
      <c r="E357" s="169" t="s">
        <v>598</v>
      </c>
      <c r="F357" s="278" t="s">
        <v>768</v>
      </c>
      <c r="G357" s="171" t="s">
        <v>111</v>
      </c>
      <c r="H357" s="288">
        <f>4-2</f>
        <v>2</v>
      </c>
      <c r="I357" s="172">
        <v>0</v>
      </c>
      <c r="J357" s="172">
        <f>ROUND(I357*H357,2)</f>
        <v>0</v>
      </c>
      <c r="K357" s="182"/>
      <c r="L357" s="174"/>
      <c r="M357" s="185"/>
      <c r="N357" s="186"/>
      <c r="O357" s="186"/>
      <c r="P357" s="186"/>
      <c r="Q357" s="186"/>
      <c r="R357" s="186"/>
      <c r="S357" s="186"/>
      <c r="T357" s="187"/>
      <c r="AT357" s="180" t="s">
        <v>107</v>
      </c>
      <c r="AU357" s="180" t="s">
        <v>75</v>
      </c>
      <c r="BK357" s="181">
        <f t="shared" si="91"/>
        <v>0</v>
      </c>
    </row>
    <row r="358" spans="2:65" s="166" customFormat="1" ht="12">
      <c r="B358" s="167"/>
      <c r="C358" s="182"/>
      <c r="D358" s="183" t="s">
        <v>107</v>
      </c>
      <c r="E358" s="182"/>
      <c r="F358" s="184" t="s">
        <v>599</v>
      </c>
      <c r="G358" s="182"/>
      <c r="H358" s="289"/>
      <c r="I358" s="182"/>
      <c r="J358" s="182"/>
      <c r="K358" s="173"/>
      <c r="L358" s="174"/>
      <c r="M358" s="175" t="s">
        <v>1</v>
      </c>
      <c r="N358" s="176" t="s">
        <v>33</v>
      </c>
      <c r="O358" s="177">
        <v>0.2</v>
      </c>
      <c r="P358" s="177">
        <f>O358*H358</f>
        <v>0</v>
      </c>
      <c r="Q358" s="177">
        <v>0.00184</v>
      </c>
      <c r="R358" s="177">
        <f>Q358*H358</f>
        <v>0</v>
      </c>
      <c r="S358" s="177">
        <v>0</v>
      </c>
      <c r="T358" s="178">
        <f>S358*H358</f>
        <v>0</v>
      </c>
      <c r="AR358" s="179" t="s">
        <v>114</v>
      </c>
      <c r="AT358" s="179" t="s">
        <v>105</v>
      </c>
      <c r="AU358" s="179" t="s">
        <v>75</v>
      </c>
      <c r="AY358" s="180" t="s">
        <v>104</v>
      </c>
      <c r="BE358" s="181">
        <f>IF(N358="základní",J358,0)</f>
        <v>0</v>
      </c>
      <c r="BF358" s="181">
        <f>IF(N358="snížená",J358,0)</f>
        <v>0</v>
      </c>
      <c r="BG358" s="181">
        <f>IF(N358="zákl. přenesená",J358,0)</f>
        <v>0</v>
      </c>
      <c r="BH358" s="181">
        <f>IF(N358="sníž. přenesená",J358,0)</f>
        <v>0</v>
      </c>
      <c r="BI358" s="181">
        <f>IF(N358="nulová",J358,0)</f>
        <v>0</v>
      </c>
      <c r="BJ358" s="180" t="s">
        <v>73</v>
      </c>
      <c r="BK358" s="181">
        <f t="shared" si="91"/>
        <v>0</v>
      </c>
      <c r="BL358" s="180" t="s">
        <v>114</v>
      </c>
      <c r="BM358" s="179" t="s">
        <v>463</v>
      </c>
    </row>
    <row r="359" spans="2:63" s="166" customFormat="1" ht="24">
      <c r="B359" s="167"/>
      <c r="C359" s="168">
        <f>C357+1</f>
        <v>143</v>
      </c>
      <c r="D359" s="168" t="s">
        <v>110</v>
      </c>
      <c r="E359" s="280" t="s">
        <v>770</v>
      </c>
      <c r="F359" s="278" t="s">
        <v>769</v>
      </c>
      <c r="G359" s="171" t="s">
        <v>111</v>
      </c>
      <c r="H359" s="288">
        <f>4-2</f>
        <v>2</v>
      </c>
      <c r="I359" s="172">
        <v>0</v>
      </c>
      <c r="J359" s="172">
        <f>ROUND(I359*H359,2)</f>
        <v>0</v>
      </c>
      <c r="K359" s="182"/>
      <c r="L359" s="174"/>
      <c r="M359" s="185"/>
      <c r="N359" s="186"/>
      <c r="O359" s="186"/>
      <c r="P359" s="186"/>
      <c r="Q359" s="186"/>
      <c r="R359" s="186"/>
      <c r="S359" s="186"/>
      <c r="T359" s="187"/>
      <c r="AT359" s="180" t="s">
        <v>107</v>
      </c>
      <c r="AU359" s="180" t="s">
        <v>75</v>
      </c>
      <c r="BK359" s="181">
        <f t="shared" si="91"/>
        <v>0</v>
      </c>
    </row>
    <row r="360" spans="2:65" s="166" customFormat="1" ht="12">
      <c r="B360" s="167"/>
      <c r="C360" s="168">
        <f aca="true" t="shared" si="93" ref="C360">C359+1</f>
        <v>144</v>
      </c>
      <c r="D360" s="168" t="s">
        <v>110</v>
      </c>
      <c r="E360" s="169" t="s">
        <v>474</v>
      </c>
      <c r="F360" s="170" t="s">
        <v>475</v>
      </c>
      <c r="G360" s="171" t="s">
        <v>111</v>
      </c>
      <c r="H360" s="288">
        <f>4-2</f>
        <v>2</v>
      </c>
      <c r="I360" s="172">
        <v>0</v>
      </c>
      <c r="J360" s="172">
        <f>ROUND(I360*H360,2)</f>
        <v>0</v>
      </c>
      <c r="K360" s="173"/>
      <c r="L360" s="174"/>
      <c r="M360" s="175" t="s">
        <v>1</v>
      </c>
      <c r="N360" s="176" t="s">
        <v>33</v>
      </c>
      <c r="O360" s="177">
        <v>0.655</v>
      </c>
      <c r="P360" s="177">
        <f>O360*H360</f>
        <v>1.31</v>
      </c>
      <c r="Q360" s="177">
        <v>0.00013</v>
      </c>
      <c r="R360" s="177">
        <f>Q360*H360</f>
        <v>0.00026</v>
      </c>
      <c r="S360" s="177">
        <v>0</v>
      </c>
      <c r="T360" s="178">
        <f>S360*H360</f>
        <v>0</v>
      </c>
      <c r="AR360" s="179" t="s">
        <v>114</v>
      </c>
      <c r="AT360" s="179" t="s">
        <v>105</v>
      </c>
      <c r="AU360" s="179" t="s">
        <v>75</v>
      </c>
      <c r="AY360" s="180" t="s">
        <v>104</v>
      </c>
      <c r="BE360" s="181">
        <f>IF(N360="základní",J360,0)</f>
        <v>0</v>
      </c>
      <c r="BF360" s="181">
        <f>IF(N360="snížená",J360,0)</f>
        <v>0</v>
      </c>
      <c r="BG360" s="181">
        <f>IF(N360="zákl. přenesená",J360,0)</f>
        <v>0</v>
      </c>
      <c r="BH360" s="181">
        <f>IF(N360="sníž. přenesená",J360,0)</f>
        <v>0</v>
      </c>
      <c r="BI360" s="181">
        <f>IF(N360="nulová",J360,0)</f>
        <v>0</v>
      </c>
      <c r="BJ360" s="180" t="s">
        <v>73</v>
      </c>
      <c r="BK360" s="181">
        <f t="shared" si="91"/>
        <v>0</v>
      </c>
      <c r="BL360" s="180" t="s">
        <v>114</v>
      </c>
      <c r="BM360" s="179" t="s">
        <v>469</v>
      </c>
    </row>
    <row r="361" spans="2:65" s="166" customFormat="1" ht="12">
      <c r="B361" s="167"/>
      <c r="C361" s="182"/>
      <c r="D361" s="183" t="s">
        <v>107</v>
      </c>
      <c r="E361" s="182"/>
      <c r="F361" s="184" t="s">
        <v>475</v>
      </c>
      <c r="G361" s="182"/>
      <c r="H361" s="289"/>
      <c r="I361" s="182"/>
      <c r="J361" s="182"/>
      <c r="K361" s="173"/>
      <c r="L361" s="174"/>
      <c r="M361" s="175" t="s">
        <v>1</v>
      </c>
      <c r="N361" s="176" t="s">
        <v>33</v>
      </c>
      <c r="O361" s="177">
        <v>1.1</v>
      </c>
      <c r="P361" s="177">
        <f>O361*H361</f>
        <v>0</v>
      </c>
      <c r="Q361" s="177">
        <v>0.00242</v>
      </c>
      <c r="R361" s="177">
        <f>Q361*H361</f>
        <v>0</v>
      </c>
      <c r="S361" s="177">
        <v>0</v>
      </c>
      <c r="T361" s="178">
        <f>S361*H361</f>
        <v>0</v>
      </c>
      <c r="AR361" s="179" t="s">
        <v>114</v>
      </c>
      <c r="AT361" s="179" t="s">
        <v>105</v>
      </c>
      <c r="AU361" s="179" t="s">
        <v>75</v>
      </c>
      <c r="AY361" s="180" t="s">
        <v>104</v>
      </c>
      <c r="BE361" s="181">
        <f>IF(N361="základní",J361,0)</f>
        <v>0</v>
      </c>
      <c r="BF361" s="181">
        <f>IF(N361="snížená",J361,0)</f>
        <v>0</v>
      </c>
      <c r="BG361" s="181">
        <f>IF(N361="zákl. přenesená",J361,0)</f>
        <v>0</v>
      </c>
      <c r="BH361" s="181">
        <f>IF(N361="sníž. přenesená",J361,0)</f>
        <v>0</v>
      </c>
      <c r="BI361" s="181">
        <f>IF(N361="nulová",J361,0)</f>
        <v>0</v>
      </c>
      <c r="BJ361" s="180" t="s">
        <v>73</v>
      </c>
      <c r="BK361" s="181">
        <f t="shared" si="91"/>
        <v>0</v>
      </c>
      <c r="BL361" s="180" t="s">
        <v>114</v>
      </c>
      <c r="BM361" s="179" t="s">
        <v>470</v>
      </c>
    </row>
    <row r="362" spans="2:65" s="166" customFormat="1" ht="12">
      <c r="B362" s="167"/>
      <c r="C362" s="168">
        <f>C360+1</f>
        <v>145</v>
      </c>
      <c r="D362" s="168" t="s">
        <v>105</v>
      </c>
      <c r="E362" s="169" t="s">
        <v>480</v>
      </c>
      <c r="F362" s="170" t="s">
        <v>481</v>
      </c>
      <c r="G362" s="171" t="s">
        <v>130</v>
      </c>
      <c r="H362" s="288">
        <f>14-5</f>
        <v>9</v>
      </c>
      <c r="I362" s="172">
        <v>0</v>
      </c>
      <c r="J362" s="172">
        <f>ROUND(I362*H362,2)</f>
        <v>0</v>
      </c>
      <c r="K362" s="173"/>
      <c r="L362" s="174"/>
      <c r="M362" s="175" t="s">
        <v>1</v>
      </c>
      <c r="N362" s="176" t="s">
        <v>33</v>
      </c>
      <c r="O362" s="177">
        <v>0</v>
      </c>
      <c r="P362" s="177">
        <f>O362*H362</f>
        <v>0</v>
      </c>
      <c r="Q362" s="177">
        <v>0.015</v>
      </c>
      <c r="R362" s="177">
        <f>Q362*H362</f>
        <v>0.135</v>
      </c>
      <c r="S362" s="177">
        <v>0</v>
      </c>
      <c r="T362" s="178">
        <f>S362*H362</f>
        <v>0</v>
      </c>
      <c r="AR362" s="179" t="s">
        <v>115</v>
      </c>
      <c r="AT362" s="179" t="s">
        <v>110</v>
      </c>
      <c r="AU362" s="179" t="s">
        <v>75</v>
      </c>
      <c r="AY362" s="180" t="s">
        <v>104</v>
      </c>
      <c r="BE362" s="181">
        <f>IF(N362="základní",J362,0)</f>
        <v>0</v>
      </c>
      <c r="BF362" s="181">
        <f>IF(N362="snížená",J362,0)</f>
        <v>0</v>
      </c>
      <c r="BG362" s="181">
        <f>IF(N362="zákl. přenesená",J362,0)</f>
        <v>0</v>
      </c>
      <c r="BH362" s="181">
        <f>IF(N362="sníž. přenesená",J362,0)</f>
        <v>0</v>
      </c>
      <c r="BI362" s="181">
        <f>IF(N362="nulová",J362,0)</f>
        <v>0</v>
      </c>
      <c r="BJ362" s="180" t="s">
        <v>73</v>
      </c>
      <c r="BK362" s="181">
        <f t="shared" si="91"/>
        <v>0</v>
      </c>
      <c r="BL362" s="180" t="s">
        <v>114</v>
      </c>
      <c r="BM362" s="179" t="s">
        <v>472</v>
      </c>
    </row>
    <row r="363" spans="2:63" s="166" customFormat="1" ht="12">
      <c r="B363" s="167"/>
      <c r="C363" s="182"/>
      <c r="D363" s="183" t="s">
        <v>107</v>
      </c>
      <c r="E363" s="182"/>
      <c r="F363" s="184" t="s">
        <v>482</v>
      </c>
      <c r="G363" s="182"/>
      <c r="H363" s="289"/>
      <c r="I363" s="182"/>
      <c r="J363" s="182"/>
      <c r="K363" s="182"/>
      <c r="L363" s="174"/>
      <c r="M363" s="185"/>
      <c r="N363" s="186"/>
      <c r="O363" s="186"/>
      <c r="P363" s="186"/>
      <c r="Q363" s="186"/>
      <c r="R363" s="186"/>
      <c r="S363" s="186"/>
      <c r="T363" s="187"/>
      <c r="AT363" s="180" t="s">
        <v>107</v>
      </c>
      <c r="AU363" s="180" t="s">
        <v>75</v>
      </c>
      <c r="BK363" s="181">
        <f t="shared" si="91"/>
        <v>0</v>
      </c>
    </row>
    <row r="364" spans="2:65" s="166" customFormat="1" ht="12">
      <c r="B364" s="167"/>
      <c r="C364" s="168">
        <f>C362+1</f>
        <v>146</v>
      </c>
      <c r="D364" s="168" t="s">
        <v>110</v>
      </c>
      <c r="E364" s="169" t="s">
        <v>483</v>
      </c>
      <c r="F364" s="170" t="s">
        <v>595</v>
      </c>
      <c r="G364" s="171" t="s">
        <v>111</v>
      </c>
      <c r="H364" s="288">
        <f>13-5</f>
        <v>8</v>
      </c>
      <c r="I364" s="172">
        <v>0</v>
      </c>
      <c r="J364" s="172">
        <f>ROUND(I364*H364,2)</f>
        <v>0</v>
      </c>
      <c r="K364" s="173"/>
      <c r="L364" s="174"/>
      <c r="M364" s="175" t="s">
        <v>1</v>
      </c>
      <c r="N364" s="176" t="s">
        <v>33</v>
      </c>
      <c r="O364" s="177">
        <v>0</v>
      </c>
      <c r="P364" s="177">
        <f>O364*H364</f>
        <v>0</v>
      </c>
      <c r="Q364" s="177">
        <v>0.0005</v>
      </c>
      <c r="R364" s="177">
        <f>Q364*H364</f>
        <v>0.004</v>
      </c>
      <c r="S364" s="177">
        <v>0</v>
      </c>
      <c r="T364" s="178">
        <f>S364*H364</f>
        <v>0</v>
      </c>
      <c r="AR364" s="179" t="s">
        <v>115</v>
      </c>
      <c r="AT364" s="179" t="s">
        <v>110</v>
      </c>
      <c r="AU364" s="179" t="s">
        <v>75</v>
      </c>
      <c r="AY364" s="180" t="s">
        <v>104</v>
      </c>
      <c r="BE364" s="181">
        <f>IF(N364="základní",J364,0)</f>
        <v>0</v>
      </c>
      <c r="BF364" s="181">
        <f>IF(N364="snížená",J364,0)</f>
        <v>0</v>
      </c>
      <c r="BG364" s="181">
        <f>IF(N364="zákl. přenesená",J364,0)</f>
        <v>0</v>
      </c>
      <c r="BH364" s="181">
        <f>IF(N364="sníž. přenesená",J364,0)</f>
        <v>0</v>
      </c>
      <c r="BI364" s="181">
        <f>IF(N364="nulová",J364,0)</f>
        <v>0</v>
      </c>
      <c r="BJ364" s="180" t="s">
        <v>73</v>
      </c>
      <c r="BK364" s="181">
        <f t="shared" si="91"/>
        <v>0</v>
      </c>
      <c r="BL364" s="180" t="s">
        <v>114</v>
      </c>
      <c r="BM364" s="179" t="s">
        <v>473</v>
      </c>
    </row>
    <row r="365" spans="2:63" s="166" customFormat="1" ht="12">
      <c r="B365" s="167"/>
      <c r="C365" s="168">
        <f aca="true" t="shared" si="94" ref="C365:C366">C364+1</f>
        <v>147</v>
      </c>
      <c r="D365" s="168" t="s">
        <v>110</v>
      </c>
      <c r="E365" s="169" t="s">
        <v>485</v>
      </c>
      <c r="F365" s="170" t="s">
        <v>487</v>
      </c>
      <c r="G365" s="171" t="s">
        <v>111</v>
      </c>
      <c r="H365" s="288">
        <v>1</v>
      </c>
      <c r="I365" s="172">
        <v>0</v>
      </c>
      <c r="J365" s="172">
        <f>ROUND(I365*H365,2)</f>
        <v>0</v>
      </c>
      <c r="K365" s="182"/>
      <c r="L365" s="174"/>
      <c r="M365" s="185"/>
      <c r="N365" s="186"/>
      <c r="O365" s="186"/>
      <c r="P365" s="186"/>
      <c r="Q365" s="186"/>
      <c r="R365" s="186"/>
      <c r="S365" s="186"/>
      <c r="T365" s="187"/>
      <c r="AT365" s="180" t="s">
        <v>107</v>
      </c>
      <c r="AU365" s="180" t="s">
        <v>75</v>
      </c>
      <c r="BK365" s="181">
        <f t="shared" si="91"/>
        <v>0</v>
      </c>
    </row>
    <row r="366" spans="2:65" s="166" customFormat="1" ht="24">
      <c r="B366" s="167"/>
      <c r="C366" s="168">
        <f t="shared" si="94"/>
        <v>148</v>
      </c>
      <c r="D366" s="168" t="s">
        <v>105</v>
      </c>
      <c r="E366" s="169" t="s">
        <v>488</v>
      </c>
      <c r="F366" s="170" t="s">
        <v>489</v>
      </c>
      <c r="G366" s="171" t="s">
        <v>111</v>
      </c>
      <c r="H366" s="288">
        <f>14-5</f>
        <v>9</v>
      </c>
      <c r="I366" s="172">
        <v>0</v>
      </c>
      <c r="J366" s="172">
        <f>ROUND(I366*H366,2)</f>
        <v>0</v>
      </c>
      <c r="K366" s="173"/>
      <c r="L366" s="174"/>
      <c r="M366" s="175" t="s">
        <v>1</v>
      </c>
      <c r="N366" s="176" t="s">
        <v>33</v>
      </c>
      <c r="O366" s="177">
        <v>0</v>
      </c>
      <c r="P366" s="177">
        <f>O366*H366</f>
        <v>0</v>
      </c>
      <c r="Q366" s="177">
        <v>0.00128</v>
      </c>
      <c r="R366" s="177">
        <f>Q366*H366</f>
        <v>0.01152</v>
      </c>
      <c r="S366" s="177">
        <v>0</v>
      </c>
      <c r="T366" s="178">
        <f>S366*H366</f>
        <v>0</v>
      </c>
      <c r="AR366" s="179" t="s">
        <v>115</v>
      </c>
      <c r="AT366" s="179" t="s">
        <v>110</v>
      </c>
      <c r="AU366" s="179" t="s">
        <v>75</v>
      </c>
      <c r="AY366" s="180" t="s">
        <v>104</v>
      </c>
      <c r="BE366" s="181">
        <f>IF(N366="základní",J366,0)</f>
        <v>0</v>
      </c>
      <c r="BF366" s="181">
        <f>IF(N366="snížená",J366,0)</f>
        <v>0</v>
      </c>
      <c r="BG366" s="181">
        <f>IF(N366="zákl. přenesená",J366,0)</f>
        <v>0</v>
      </c>
      <c r="BH366" s="181">
        <f>IF(N366="sníž. přenesená",J366,0)</f>
        <v>0</v>
      </c>
      <c r="BI366" s="181">
        <f>IF(N366="nulová",J366,0)</f>
        <v>0</v>
      </c>
      <c r="BJ366" s="180" t="s">
        <v>73</v>
      </c>
      <c r="BK366" s="181">
        <f t="shared" si="91"/>
        <v>0</v>
      </c>
      <c r="BL366" s="180" t="s">
        <v>114</v>
      </c>
      <c r="BM366" s="179" t="s">
        <v>476</v>
      </c>
    </row>
    <row r="367" spans="2:63" s="166" customFormat="1" ht="12">
      <c r="B367" s="167"/>
      <c r="C367" s="182"/>
      <c r="D367" s="183" t="s">
        <v>107</v>
      </c>
      <c r="E367" s="182"/>
      <c r="F367" s="184" t="s">
        <v>491</v>
      </c>
      <c r="G367" s="182"/>
      <c r="H367" s="289"/>
      <c r="I367" s="182"/>
      <c r="J367" s="182"/>
      <c r="K367" s="182"/>
      <c r="L367" s="174"/>
      <c r="M367" s="185"/>
      <c r="N367" s="186"/>
      <c r="O367" s="186"/>
      <c r="P367" s="186"/>
      <c r="Q367" s="186"/>
      <c r="R367" s="186"/>
      <c r="S367" s="186"/>
      <c r="T367" s="187"/>
      <c r="AT367" s="180" t="s">
        <v>107</v>
      </c>
      <c r="AU367" s="180" t="s">
        <v>75</v>
      </c>
      <c r="BK367" s="181">
        <f t="shared" si="91"/>
        <v>0</v>
      </c>
    </row>
    <row r="368" spans="2:65" s="166" customFormat="1" ht="12">
      <c r="B368" s="167"/>
      <c r="C368" s="168">
        <f>C366+1</f>
        <v>149</v>
      </c>
      <c r="D368" s="168" t="s">
        <v>110</v>
      </c>
      <c r="E368" s="169" t="s">
        <v>492</v>
      </c>
      <c r="F368" s="170" t="s">
        <v>493</v>
      </c>
      <c r="G368" s="171" t="s">
        <v>111</v>
      </c>
      <c r="H368" s="288">
        <v>4</v>
      </c>
      <c r="I368" s="172">
        <v>0</v>
      </c>
      <c r="J368" s="172">
        <f>ROUND(I368*H368,2)</f>
        <v>0</v>
      </c>
      <c r="K368" s="173"/>
      <c r="L368" s="174"/>
      <c r="M368" s="175" t="s">
        <v>1</v>
      </c>
      <c r="N368" s="176" t="s">
        <v>33</v>
      </c>
      <c r="O368" s="177">
        <v>0</v>
      </c>
      <c r="P368" s="177">
        <f aca="true" t="shared" si="95" ref="P368:P373">O368*H368</f>
        <v>0</v>
      </c>
      <c r="Q368" s="177">
        <v>0</v>
      </c>
      <c r="R368" s="177">
        <f aca="true" t="shared" si="96" ref="R368:R373">Q368*H368</f>
        <v>0</v>
      </c>
      <c r="S368" s="177">
        <v>0</v>
      </c>
      <c r="T368" s="178">
        <f aca="true" t="shared" si="97" ref="T368:T373">S368*H368</f>
        <v>0</v>
      </c>
      <c r="AR368" s="179" t="s">
        <v>114</v>
      </c>
      <c r="AT368" s="179" t="s">
        <v>105</v>
      </c>
      <c r="AU368" s="179" t="s">
        <v>75</v>
      </c>
      <c r="AY368" s="180" t="s">
        <v>104</v>
      </c>
      <c r="BE368" s="181">
        <f aca="true" t="shared" si="98" ref="BE368:BE373">IF(N368="základní",J368,0)</f>
        <v>0</v>
      </c>
      <c r="BF368" s="181">
        <f aca="true" t="shared" si="99" ref="BF368:BF373">IF(N368="snížená",J368,0)</f>
        <v>0</v>
      </c>
      <c r="BG368" s="181">
        <f aca="true" t="shared" si="100" ref="BG368:BG373">IF(N368="zákl. přenesená",J368,0)</f>
        <v>0</v>
      </c>
      <c r="BH368" s="181">
        <f aca="true" t="shared" si="101" ref="BH368:BH373">IF(N368="sníž. přenesená",J368,0)</f>
        <v>0</v>
      </c>
      <c r="BI368" s="181">
        <f aca="true" t="shared" si="102" ref="BI368:BI373">IF(N368="nulová",J368,0)</f>
        <v>0</v>
      </c>
      <c r="BJ368" s="180" t="s">
        <v>73</v>
      </c>
      <c r="BK368" s="181">
        <f t="shared" si="91"/>
        <v>0</v>
      </c>
      <c r="BL368" s="180" t="s">
        <v>114</v>
      </c>
      <c r="BM368" s="179" t="s">
        <v>477</v>
      </c>
    </row>
    <row r="369" spans="2:65" s="166" customFormat="1" ht="12">
      <c r="B369" s="167"/>
      <c r="C369" s="182"/>
      <c r="D369" s="183" t="s">
        <v>107</v>
      </c>
      <c r="E369" s="182"/>
      <c r="F369" s="184" t="s">
        <v>493</v>
      </c>
      <c r="G369" s="182"/>
      <c r="H369" s="289"/>
      <c r="I369" s="182"/>
      <c r="J369" s="182"/>
      <c r="K369" s="173"/>
      <c r="L369" s="174"/>
      <c r="M369" s="175" t="s">
        <v>1</v>
      </c>
      <c r="N369" s="176" t="s">
        <v>33</v>
      </c>
      <c r="O369" s="177">
        <v>0</v>
      </c>
      <c r="P369" s="177">
        <f t="shared" si="95"/>
        <v>0</v>
      </c>
      <c r="Q369" s="177">
        <v>0</v>
      </c>
      <c r="R369" s="177">
        <f t="shared" si="96"/>
        <v>0</v>
      </c>
      <c r="S369" s="177">
        <v>0</v>
      </c>
      <c r="T369" s="178">
        <f t="shared" si="97"/>
        <v>0</v>
      </c>
      <c r="AR369" s="179" t="s">
        <v>114</v>
      </c>
      <c r="AT369" s="179" t="s">
        <v>105</v>
      </c>
      <c r="AU369" s="179" t="s">
        <v>75</v>
      </c>
      <c r="AY369" s="180" t="s">
        <v>104</v>
      </c>
      <c r="BE369" s="181">
        <f t="shared" si="98"/>
        <v>0</v>
      </c>
      <c r="BF369" s="181">
        <f t="shared" si="99"/>
        <v>0</v>
      </c>
      <c r="BG369" s="181">
        <f t="shared" si="100"/>
        <v>0</v>
      </c>
      <c r="BH369" s="181">
        <f t="shared" si="101"/>
        <v>0</v>
      </c>
      <c r="BI369" s="181">
        <f t="shared" si="102"/>
        <v>0</v>
      </c>
      <c r="BJ369" s="180" t="s">
        <v>73</v>
      </c>
      <c r="BK369" s="181">
        <f t="shared" si="91"/>
        <v>0</v>
      </c>
      <c r="BL369" s="180" t="s">
        <v>114</v>
      </c>
      <c r="BM369" s="179" t="s">
        <v>478</v>
      </c>
    </row>
    <row r="370" spans="2:65" s="166" customFormat="1" ht="24">
      <c r="B370" s="167"/>
      <c r="C370" s="168">
        <f>C368+1</f>
        <v>150</v>
      </c>
      <c r="D370" s="168" t="s">
        <v>110</v>
      </c>
      <c r="E370" s="169" t="s">
        <v>601</v>
      </c>
      <c r="F370" s="170" t="s">
        <v>600</v>
      </c>
      <c r="G370" s="171" t="s">
        <v>111</v>
      </c>
      <c r="H370" s="288">
        <v>4</v>
      </c>
      <c r="I370" s="172">
        <v>0</v>
      </c>
      <c r="J370" s="172">
        <f>ROUND(I370*H370,2)</f>
        <v>0</v>
      </c>
      <c r="K370" s="173"/>
      <c r="L370" s="174"/>
      <c r="M370" s="175" t="s">
        <v>1</v>
      </c>
      <c r="N370" s="176" t="s">
        <v>33</v>
      </c>
      <c r="O370" s="177">
        <v>0</v>
      </c>
      <c r="P370" s="177">
        <f t="shared" si="95"/>
        <v>0</v>
      </c>
      <c r="Q370" s="177">
        <v>0</v>
      </c>
      <c r="R370" s="177">
        <f t="shared" si="96"/>
        <v>0</v>
      </c>
      <c r="S370" s="177">
        <v>0</v>
      </c>
      <c r="T370" s="178">
        <f t="shared" si="97"/>
        <v>0</v>
      </c>
      <c r="AR370" s="179" t="s">
        <v>115</v>
      </c>
      <c r="AT370" s="179" t="s">
        <v>110</v>
      </c>
      <c r="AU370" s="179" t="s">
        <v>75</v>
      </c>
      <c r="AY370" s="180" t="s">
        <v>104</v>
      </c>
      <c r="BE370" s="181">
        <f t="shared" si="98"/>
        <v>0</v>
      </c>
      <c r="BF370" s="181">
        <f t="shared" si="99"/>
        <v>0</v>
      </c>
      <c r="BG370" s="181">
        <f t="shared" si="100"/>
        <v>0</v>
      </c>
      <c r="BH370" s="181">
        <f t="shared" si="101"/>
        <v>0</v>
      </c>
      <c r="BI370" s="181">
        <f t="shared" si="102"/>
        <v>0</v>
      </c>
      <c r="BJ370" s="180" t="s">
        <v>73</v>
      </c>
      <c r="BK370" s="181">
        <f t="shared" si="91"/>
        <v>0</v>
      </c>
      <c r="BL370" s="180" t="s">
        <v>114</v>
      </c>
      <c r="BM370" s="179" t="s">
        <v>479</v>
      </c>
    </row>
    <row r="371" spans="2:65" s="166" customFormat="1" ht="24">
      <c r="B371" s="167"/>
      <c r="C371" s="168">
        <f aca="true" t="shared" si="103" ref="C371:C373">C370+1</f>
        <v>151</v>
      </c>
      <c r="D371" s="168" t="s">
        <v>110</v>
      </c>
      <c r="E371" s="169" t="s">
        <v>602</v>
      </c>
      <c r="F371" s="170" t="s">
        <v>603</v>
      </c>
      <c r="G371" s="171" t="s">
        <v>111</v>
      </c>
      <c r="H371" s="288">
        <f>5-5</f>
        <v>0</v>
      </c>
      <c r="I371" s="172">
        <v>0</v>
      </c>
      <c r="J371" s="172">
        <f>ROUND(I371*H371,2)</f>
        <v>0</v>
      </c>
      <c r="K371" s="173"/>
      <c r="L371" s="174"/>
      <c r="M371" s="175" t="s">
        <v>1</v>
      </c>
      <c r="N371" s="176" t="s">
        <v>33</v>
      </c>
      <c r="O371" s="177">
        <v>0</v>
      </c>
      <c r="P371" s="177">
        <f t="shared" si="95"/>
        <v>0</v>
      </c>
      <c r="Q371" s="177">
        <v>0.009</v>
      </c>
      <c r="R371" s="177">
        <f t="shared" si="96"/>
        <v>0</v>
      </c>
      <c r="S371" s="177">
        <v>0</v>
      </c>
      <c r="T371" s="178">
        <f t="shared" si="97"/>
        <v>0</v>
      </c>
      <c r="AR371" s="179" t="s">
        <v>115</v>
      </c>
      <c r="AT371" s="179" t="s">
        <v>110</v>
      </c>
      <c r="AU371" s="179" t="s">
        <v>75</v>
      </c>
      <c r="AY371" s="180" t="s">
        <v>104</v>
      </c>
      <c r="BE371" s="181">
        <f t="shared" si="98"/>
        <v>0</v>
      </c>
      <c r="BF371" s="181">
        <f t="shared" si="99"/>
        <v>0</v>
      </c>
      <c r="BG371" s="181">
        <f t="shared" si="100"/>
        <v>0</v>
      </c>
      <c r="BH371" s="181">
        <f t="shared" si="101"/>
        <v>0</v>
      </c>
      <c r="BI371" s="181">
        <f t="shared" si="102"/>
        <v>0</v>
      </c>
      <c r="BJ371" s="180" t="s">
        <v>73</v>
      </c>
      <c r="BK371" s="181">
        <f t="shared" si="91"/>
        <v>0</v>
      </c>
      <c r="BL371" s="180" t="s">
        <v>114</v>
      </c>
      <c r="BM371" s="179" t="s">
        <v>484</v>
      </c>
    </row>
    <row r="372" spans="2:65" s="166" customFormat="1" ht="12">
      <c r="B372" s="167"/>
      <c r="C372" s="168">
        <f t="shared" si="103"/>
        <v>152</v>
      </c>
      <c r="D372" s="168" t="s">
        <v>110</v>
      </c>
      <c r="E372" s="169" t="s">
        <v>604</v>
      </c>
      <c r="F372" s="170" t="s">
        <v>605</v>
      </c>
      <c r="G372" s="171" t="s">
        <v>111</v>
      </c>
      <c r="H372" s="288">
        <v>1</v>
      </c>
      <c r="I372" s="172">
        <v>0</v>
      </c>
      <c r="J372" s="172">
        <f>ROUND(I372*H372,2)</f>
        <v>0</v>
      </c>
      <c r="K372" s="173"/>
      <c r="L372" s="174"/>
      <c r="M372" s="175" t="s">
        <v>1</v>
      </c>
      <c r="N372" s="176" t="s">
        <v>33</v>
      </c>
      <c r="O372" s="177">
        <v>0</v>
      </c>
      <c r="P372" s="177">
        <f t="shared" si="95"/>
        <v>0</v>
      </c>
      <c r="Q372" s="177">
        <v>0.0135</v>
      </c>
      <c r="R372" s="177">
        <f t="shared" si="96"/>
        <v>0.0135</v>
      </c>
      <c r="S372" s="177">
        <v>0</v>
      </c>
      <c r="T372" s="178">
        <f t="shared" si="97"/>
        <v>0</v>
      </c>
      <c r="AR372" s="179" t="s">
        <v>115</v>
      </c>
      <c r="AT372" s="179" t="s">
        <v>110</v>
      </c>
      <c r="AU372" s="179" t="s">
        <v>75</v>
      </c>
      <c r="AY372" s="180" t="s">
        <v>104</v>
      </c>
      <c r="BE372" s="181">
        <f t="shared" si="98"/>
        <v>0</v>
      </c>
      <c r="BF372" s="181">
        <f t="shared" si="99"/>
        <v>0</v>
      </c>
      <c r="BG372" s="181">
        <f t="shared" si="100"/>
        <v>0</v>
      </c>
      <c r="BH372" s="181">
        <f t="shared" si="101"/>
        <v>0</v>
      </c>
      <c r="BI372" s="181">
        <f t="shared" si="102"/>
        <v>0</v>
      </c>
      <c r="BJ372" s="180" t="s">
        <v>73</v>
      </c>
      <c r="BK372" s="181">
        <f t="shared" si="91"/>
        <v>0</v>
      </c>
      <c r="BL372" s="180" t="s">
        <v>114</v>
      </c>
      <c r="BM372" s="179" t="s">
        <v>486</v>
      </c>
    </row>
    <row r="373" spans="2:65" s="166" customFormat="1" ht="24">
      <c r="B373" s="167"/>
      <c r="C373" s="168">
        <f t="shared" si="103"/>
        <v>153</v>
      </c>
      <c r="D373" s="168" t="s">
        <v>105</v>
      </c>
      <c r="E373" s="169" t="s">
        <v>495</v>
      </c>
      <c r="F373" s="170" t="s">
        <v>496</v>
      </c>
      <c r="G373" s="171" t="s">
        <v>111</v>
      </c>
      <c r="H373" s="288">
        <f>14-5</f>
        <v>9</v>
      </c>
      <c r="I373" s="172">
        <v>0</v>
      </c>
      <c r="J373" s="172">
        <f>ROUND(I373*H373,2)</f>
        <v>0</v>
      </c>
      <c r="K373" s="173"/>
      <c r="L373" s="174"/>
      <c r="M373" s="175" t="s">
        <v>1</v>
      </c>
      <c r="N373" s="176" t="s">
        <v>33</v>
      </c>
      <c r="O373" s="177">
        <v>0.32</v>
      </c>
      <c r="P373" s="177">
        <f t="shared" si="95"/>
        <v>2.88</v>
      </c>
      <c r="Q373" s="177">
        <v>4E-05</v>
      </c>
      <c r="R373" s="177">
        <f t="shared" si="96"/>
        <v>0.00036</v>
      </c>
      <c r="S373" s="177">
        <v>0</v>
      </c>
      <c r="T373" s="178">
        <f t="shared" si="97"/>
        <v>0</v>
      </c>
      <c r="AR373" s="179" t="s">
        <v>114</v>
      </c>
      <c r="AT373" s="179" t="s">
        <v>105</v>
      </c>
      <c r="AU373" s="179" t="s">
        <v>75</v>
      </c>
      <c r="AY373" s="180" t="s">
        <v>104</v>
      </c>
      <c r="BE373" s="181">
        <f t="shared" si="98"/>
        <v>0</v>
      </c>
      <c r="BF373" s="181">
        <f t="shared" si="99"/>
        <v>0</v>
      </c>
      <c r="BG373" s="181">
        <f t="shared" si="100"/>
        <v>0</v>
      </c>
      <c r="BH373" s="181">
        <f t="shared" si="101"/>
        <v>0</v>
      </c>
      <c r="BI373" s="181">
        <f t="shared" si="102"/>
        <v>0</v>
      </c>
      <c r="BJ373" s="180" t="s">
        <v>73</v>
      </c>
      <c r="BK373" s="181">
        <f t="shared" si="91"/>
        <v>0</v>
      </c>
      <c r="BL373" s="180" t="s">
        <v>114</v>
      </c>
      <c r="BM373" s="179" t="s">
        <v>490</v>
      </c>
    </row>
    <row r="374" spans="2:63" s="166" customFormat="1" ht="19.5">
      <c r="B374" s="167"/>
      <c r="C374" s="182"/>
      <c r="D374" s="183" t="s">
        <v>107</v>
      </c>
      <c r="E374" s="182"/>
      <c r="F374" s="184" t="s">
        <v>498</v>
      </c>
      <c r="G374" s="182"/>
      <c r="H374" s="289"/>
      <c r="I374" s="182"/>
      <c r="J374" s="182"/>
      <c r="K374" s="182"/>
      <c r="L374" s="174"/>
      <c r="M374" s="185"/>
      <c r="N374" s="186"/>
      <c r="O374" s="186"/>
      <c r="P374" s="186"/>
      <c r="Q374" s="186"/>
      <c r="R374" s="186"/>
      <c r="S374" s="186"/>
      <c r="T374" s="187"/>
      <c r="AT374" s="180" t="s">
        <v>107</v>
      </c>
      <c r="AU374" s="180" t="s">
        <v>75</v>
      </c>
      <c r="BK374" s="181">
        <f t="shared" si="91"/>
        <v>0</v>
      </c>
    </row>
    <row r="375" spans="2:65" s="166" customFormat="1" ht="24">
      <c r="B375" s="167"/>
      <c r="C375" s="168">
        <f>C373+1</f>
        <v>154</v>
      </c>
      <c r="D375" s="168" t="s">
        <v>105</v>
      </c>
      <c r="E375" s="169" t="s">
        <v>499</v>
      </c>
      <c r="F375" s="170" t="s">
        <v>500</v>
      </c>
      <c r="G375" s="171" t="s">
        <v>111</v>
      </c>
      <c r="H375" s="288">
        <f>14-5</f>
        <v>9</v>
      </c>
      <c r="I375" s="172">
        <v>0</v>
      </c>
      <c r="J375" s="172">
        <f>ROUND(I375*H375,2)</f>
        <v>0</v>
      </c>
      <c r="K375" s="173"/>
      <c r="L375" s="174"/>
      <c r="M375" s="175" t="s">
        <v>1</v>
      </c>
      <c r="N375" s="176" t="s">
        <v>33</v>
      </c>
      <c r="O375" s="177">
        <v>0</v>
      </c>
      <c r="P375" s="177">
        <f>O375*H375</f>
        <v>0</v>
      </c>
      <c r="Q375" s="177">
        <v>0.0015</v>
      </c>
      <c r="R375" s="177">
        <f>Q375*H375</f>
        <v>0.0135</v>
      </c>
      <c r="S375" s="177">
        <v>0</v>
      </c>
      <c r="T375" s="178">
        <f>S375*H375</f>
        <v>0</v>
      </c>
      <c r="AR375" s="179" t="s">
        <v>115</v>
      </c>
      <c r="AT375" s="179" t="s">
        <v>110</v>
      </c>
      <c r="AU375" s="179" t="s">
        <v>75</v>
      </c>
      <c r="AY375" s="180" t="s">
        <v>104</v>
      </c>
      <c r="BE375" s="181">
        <f>IF(N375="základní",J375,0)</f>
        <v>0</v>
      </c>
      <c r="BF375" s="181">
        <f>IF(N375="snížená",J375,0)</f>
        <v>0</v>
      </c>
      <c r="BG375" s="181">
        <f>IF(N375="zákl. přenesená",J375,0)</f>
        <v>0</v>
      </c>
      <c r="BH375" s="181">
        <f>IF(N375="sníž. přenesená",J375,0)</f>
        <v>0</v>
      </c>
      <c r="BI375" s="181">
        <f>IF(N375="nulová",J375,0)</f>
        <v>0</v>
      </c>
      <c r="BJ375" s="180" t="s">
        <v>73</v>
      </c>
      <c r="BK375" s="181">
        <f t="shared" si="91"/>
        <v>0</v>
      </c>
      <c r="BL375" s="180" t="s">
        <v>114</v>
      </c>
      <c r="BM375" s="179" t="s">
        <v>494</v>
      </c>
    </row>
    <row r="376" spans="2:63" s="166" customFormat="1" ht="24">
      <c r="B376" s="167"/>
      <c r="C376" s="168">
        <f aca="true" t="shared" si="104" ref="C376:C377">C375+1</f>
        <v>155</v>
      </c>
      <c r="D376" s="168" t="s">
        <v>105</v>
      </c>
      <c r="E376" s="169" t="s">
        <v>501</v>
      </c>
      <c r="F376" s="170" t="s">
        <v>502</v>
      </c>
      <c r="G376" s="171" t="s">
        <v>130</v>
      </c>
      <c r="H376" s="288">
        <f>14-5</f>
        <v>9</v>
      </c>
      <c r="I376" s="172">
        <v>0</v>
      </c>
      <c r="J376" s="172">
        <f>ROUND(I376*H376,2)</f>
        <v>0</v>
      </c>
      <c r="K376" s="182"/>
      <c r="L376" s="174"/>
      <c r="M376" s="185"/>
      <c r="N376" s="186"/>
      <c r="O376" s="186"/>
      <c r="P376" s="186"/>
      <c r="Q376" s="186"/>
      <c r="R376" s="186"/>
      <c r="S376" s="186"/>
      <c r="T376" s="187"/>
      <c r="AT376" s="180" t="s">
        <v>107</v>
      </c>
      <c r="AU376" s="180" t="s">
        <v>75</v>
      </c>
      <c r="BK376" s="181">
        <f t="shared" si="91"/>
        <v>0</v>
      </c>
    </row>
    <row r="377" spans="2:65" s="166" customFormat="1" ht="24">
      <c r="B377" s="167"/>
      <c r="C377" s="168">
        <f t="shared" si="104"/>
        <v>156</v>
      </c>
      <c r="D377" s="168" t="s">
        <v>105</v>
      </c>
      <c r="E377" s="169" t="s">
        <v>503</v>
      </c>
      <c r="F377" s="170" t="s">
        <v>504</v>
      </c>
      <c r="G377" s="171" t="s">
        <v>111</v>
      </c>
      <c r="H377" s="288">
        <f>14-5</f>
        <v>9</v>
      </c>
      <c r="I377" s="172">
        <v>0</v>
      </c>
      <c r="J377" s="172">
        <f>ROUND(I377*H377,2)</f>
        <v>0</v>
      </c>
      <c r="K377" s="173"/>
      <c r="L377" s="174"/>
      <c r="M377" s="175" t="s">
        <v>1</v>
      </c>
      <c r="N377" s="176" t="s">
        <v>33</v>
      </c>
      <c r="O377" s="177">
        <v>0.246</v>
      </c>
      <c r="P377" s="177">
        <f>O377*H377</f>
        <v>2.214</v>
      </c>
      <c r="Q377" s="177">
        <v>0.00014</v>
      </c>
      <c r="R377" s="177">
        <f>Q377*H377</f>
        <v>0.0012599999999999998</v>
      </c>
      <c r="S377" s="177">
        <v>0</v>
      </c>
      <c r="T377" s="178">
        <f>S377*H377</f>
        <v>0</v>
      </c>
      <c r="AR377" s="179" t="s">
        <v>114</v>
      </c>
      <c r="AT377" s="179" t="s">
        <v>105</v>
      </c>
      <c r="AU377" s="179" t="s">
        <v>75</v>
      </c>
      <c r="AY377" s="180" t="s">
        <v>104</v>
      </c>
      <c r="BE377" s="181">
        <f>IF(N377="základní",J377,0)</f>
        <v>0</v>
      </c>
      <c r="BF377" s="181">
        <f>IF(N377="snížená",J377,0)</f>
        <v>0</v>
      </c>
      <c r="BG377" s="181">
        <f>IF(N377="zákl. přenesená",J377,0)</f>
        <v>0</v>
      </c>
      <c r="BH377" s="181">
        <f>IF(N377="sníž. přenesená",J377,0)</f>
        <v>0</v>
      </c>
      <c r="BI377" s="181">
        <f>IF(N377="nulová",J377,0)</f>
        <v>0</v>
      </c>
      <c r="BJ377" s="180" t="s">
        <v>73</v>
      </c>
      <c r="BK377" s="181">
        <f t="shared" si="91"/>
        <v>0</v>
      </c>
      <c r="BL377" s="180" t="s">
        <v>114</v>
      </c>
      <c r="BM377" s="179" t="s">
        <v>497</v>
      </c>
    </row>
    <row r="378" spans="2:65" s="166" customFormat="1" ht="12">
      <c r="B378" s="167"/>
      <c r="C378" s="168">
        <f>C377+1</f>
        <v>157</v>
      </c>
      <c r="D378" s="168" t="s">
        <v>105</v>
      </c>
      <c r="E378" s="169" t="s">
        <v>512</v>
      </c>
      <c r="F378" s="170" t="s">
        <v>513</v>
      </c>
      <c r="G378" s="171" t="s">
        <v>130</v>
      </c>
      <c r="H378" s="288">
        <f>5-1</f>
        <v>4</v>
      </c>
      <c r="I378" s="172">
        <v>0</v>
      </c>
      <c r="J378" s="172">
        <f>ROUND(I378*H378,2)</f>
        <v>0</v>
      </c>
      <c r="K378" s="196"/>
      <c r="L378" s="197"/>
      <c r="M378" s="198" t="s">
        <v>1</v>
      </c>
      <c r="N378" s="199" t="s">
        <v>33</v>
      </c>
      <c r="O378" s="200">
        <v>0</v>
      </c>
      <c r="P378" s="200">
        <f>O378*H378</f>
        <v>0</v>
      </c>
      <c r="Q378" s="200">
        <v>0.00199</v>
      </c>
      <c r="R378" s="200">
        <f>Q378*H378</f>
        <v>0.00796</v>
      </c>
      <c r="S378" s="200">
        <v>0</v>
      </c>
      <c r="T378" s="201">
        <f>S378*H378</f>
        <v>0</v>
      </c>
      <c r="AR378" s="179" t="s">
        <v>115</v>
      </c>
      <c r="AT378" s="179" t="s">
        <v>110</v>
      </c>
      <c r="AU378" s="179" t="s">
        <v>75</v>
      </c>
      <c r="AY378" s="180" t="s">
        <v>104</v>
      </c>
      <c r="BE378" s="181">
        <f>IF(N378="základní",J378,0)</f>
        <v>0</v>
      </c>
      <c r="BF378" s="181">
        <f>IF(N378="snížená",J378,0)</f>
        <v>0</v>
      </c>
      <c r="BG378" s="181">
        <f>IF(N378="zákl. přenesená",J378,0)</f>
        <v>0</v>
      </c>
      <c r="BH378" s="181">
        <f>IF(N378="sníž. přenesená",J378,0)</f>
        <v>0</v>
      </c>
      <c r="BI378" s="181">
        <f>IF(N378="nulová",J378,0)</f>
        <v>0</v>
      </c>
      <c r="BJ378" s="180" t="s">
        <v>73</v>
      </c>
      <c r="BK378" s="181">
        <f t="shared" si="91"/>
        <v>0</v>
      </c>
      <c r="BL378" s="180" t="s">
        <v>114</v>
      </c>
      <c r="BM378" s="179" t="s">
        <v>505</v>
      </c>
    </row>
    <row r="379" spans="2:63" s="166" customFormat="1" ht="12">
      <c r="B379" s="167"/>
      <c r="C379" s="182"/>
      <c r="D379" s="183" t="s">
        <v>107</v>
      </c>
      <c r="E379" s="182"/>
      <c r="F379" s="184" t="s">
        <v>515</v>
      </c>
      <c r="G379" s="182"/>
      <c r="H379" s="289"/>
      <c r="I379" s="182"/>
      <c r="J379" s="182"/>
      <c r="K379" s="182"/>
      <c r="L379" s="174"/>
      <c r="M379" s="185"/>
      <c r="N379" s="186"/>
      <c r="O379" s="186"/>
      <c r="P379" s="186"/>
      <c r="Q379" s="186"/>
      <c r="R379" s="186"/>
      <c r="S379" s="186"/>
      <c r="T379" s="187"/>
      <c r="AT379" s="180" t="s">
        <v>107</v>
      </c>
      <c r="AU379" s="180" t="s">
        <v>75</v>
      </c>
      <c r="BK379" s="181">
        <f t="shared" si="91"/>
        <v>0</v>
      </c>
    </row>
    <row r="380" spans="2:65" s="166" customFormat="1" ht="36">
      <c r="B380" s="167"/>
      <c r="C380" s="168">
        <f>C378+1</f>
        <v>158</v>
      </c>
      <c r="D380" s="168" t="s">
        <v>110</v>
      </c>
      <c r="E380" s="169" t="s">
        <v>516</v>
      </c>
      <c r="F380" s="170" t="s">
        <v>517</v>
      </c>
      <c r="G380" s="171" t="s">
        <v>111</v>
      </c>
      <c r="H380" s="288">
        <f>5-1</f>
        <v>4</v>
      </c>
      <c r="I380" s="172">
        <v>0</v>
      </c>
      <c r="J380" s="172">
        <f aca="true" t="shared" si="105" ref="J380:J382">ROUND(I380*H380,2)</f>
        <v>0</v>
      </c>
      <c r="K380" s="173"/>
      <c r="L380" s="174"/>
      <c r="M380" s="175" t="s">
        <v>1</v>
      </c>
      <c r="N380" s="176" t="s">
        <v>33</v>
      </c>
      <c r="O380" s="177">
        <v>0</v>
      </c>
      <c r="P380" s="177">
        <f>O380*H380</f>
        <v>0</v>
      </c>
      <c r="Q380" s="177">
        <v>0</v>
      </c>
      <c r="R380" s="177">
        <f>Q380*H380</f>
        <v>0</v>
      </c>
      <c r="S380" s="177">
        <v>0</v>
      </c>
      <c r="T380" s="178">
        <f>S380*H380</f>
        <v>0</v>
      </c>
      <c r="AR380" s="179" t="s">
        <v>114</v>
      </c>
      <c r="AT380" s="179" t="s">
        <v>105</v>
      </c>
      <c r="AU380" s="179" t="s">
        <v>75</v>
      </c>
      <c r="AY380" s="180" t="s">
        <v>104</v>
      </c>
      <c r="BE380" s="181">
        <f>IF(N380="základní",J380,0)</f>
        <v>0</v>
      </c>
      <c r="BF380" s="181">
        <f>IF(N380="snížená",J380,0)</f>
        <v>0</v>
      </c>
      <c r="BG380" s="181">
        <f>IF(N380="zákl. přenesená",J380,0)</f>
        <v>0</v>
      </c>
      <c r="BH380" s="181">
        <f>IF(N380="sníž. přenesená",J380,0)</f>
        <v>0</v>
      </c>
      <c r="BI380" s="181">
        <f>IF(N380="nulová",J380,0)</f>
        <v>0</v>
      </c>
      <c r="BJ380" s="180" t="s">
        <v>73</v>
      </c>
      <c r="BK380" s="181">
        <f t="shared" si="91"/>
        <v>0</v>
      </c>
      <c r="BL380" s="180" t="s">
        <v>114</v>
      </c>
      <c r="BM380" s="179" t="s">
        <v>506</v>
      </c>
    </row>
    <row r="381" spans="2:65" s="166" customFormat="1" ht="12">
      <c r="B381" s="167"/>
      <c r="C381" s="168">
        <f aca="true" t="shared" si="106" ref="C381:C383">C380+1</f>
        <v>159</v>
      </c>
      <c r="D381" s="168" t="s">
        <v>105</v>
      </c>
      <c r="E381" s="169" t="s">
        <v>518</v>
      </c>
      <c r="F381" s="170" t="s">
        <v>519</v>
      </c>
      <c r="G381" s="171" t="s">
        <v>111</v>
      </c>
      <c r="H381" s="288">
        <f>5-1</f>
        <v>4</v>
      </c>
      <c r="I381" s="172">
        <v>0</v>
      </c>
      <c r="J381" s="172">
        <f t="shared" si="105"/>
        <v>0</v>
      </c>
      <c r="K381" s="173"/>
      <c r="L381" s="174"/>
      <c r="M381" s="175" t="s">
        <v>1</v>
      </c>
      <c r="N381" s="176" t="s">
        <v>33</v>
      </c>
      <c r="O381" s="177">
        <v>1.5</v>
      </c>
      <c r="P381" s="177">
        <f>O381*H381</f>
        <v>6</v>
      </c>
      <c r="Q381" s="177">
        <v>8E-05</v>
      </c>
      <c r="R381" s="177">
        <f>Q381*H381</f>
        <v>0.00032</v>
      </c>
      <c r="S381" s="177">
        <v>0</v>
      </c>
      <c r="T381" s="178">
        <f>S381*H381</f>
        <v>0</v>
      </c>
      <c r="AR381" s="179" t="s">
        <v>114</v>
      </c>
      <c r="AT381" s="179" t="s">
        <v>105</v>
      </c>
      <c r="AU381" s="179" t="s">
        <v>75</v>
      </c>
      <c r="AY381" s="180" t="s">
        <v>104</v>
      </c>
      <c r="BE381" s="181">
        <f>IF(N381="základní",J381,0)</f>
        <v>0</v>
      </c>
      <c r="BF381" s="181">
        <f>IF(N381="snížená",J381,0)</f>
        <v>0</v>
      </c>
      <c r="BG381" s="181">
        <f>IF(N381="zákl. přenesená",J381,0)</f>
        <v>0</v>
      </c>
      <c r="BH381" s="181">
        <f>IF(N381="sníž. přenesená",J381,0)</f>
        <v>0</v>
      </c>
      <c r="BI381" s="181">
        <f>IF(N381="nulová",J381,0)</f>
        <v>0</v>
      </c>
      <c r="BJ381" s="180" t="s">
        <v>73</v>
      </c>
      <c r="BK381" s="181">
        <f t="shared" si="91"/>
        <v>0</v>
      </c>
      <c r="BL381" s="180" t="s">
        <v>114</v>
      </c>
      <c r="BM381" s="179" t="s">
        <v>507</v>
      </c>
    </row>
    <row r="382" spans="2:63" s="166" customFormat="1" ht="24">
      <c r="B382" s="167"/>
      <c r="C382" s="168">
        <f t="shared" si="106"/>
        <v>160</v>
      </c>
      <c r="D382" s="168" t="s">
        <v>110</v>
      </c>
      <c r="E382" s="169" t="s">
        <v>521</v>
      </c>
      <c r="F382" s="170" t="s">
        <v>522</v>
      </c>
      <c r="G382" s="171" t="s">
        <v>111</v>
      </c>
      <c r="H382" s="288">
        <f>5-1</f>
        <v>4</v>
      </c>
      <c r="I382" s="172">
        <v>0</v>
      </c>
      <c r="J382" s="172">
        <f t="shared" si="105"/>
        <v>0</v>
      </c>
      <c r="K382" s="182"/>
      <c r="L382" s="174"/>
      <c r="M382" s="185"/>
      <c r="N382" s="186"/>
      <c r="O382" s="186"/>
      <c r="P382" s="186"/>
      <c r="Q382" s="186"/>
      <c r="R382" s="186"/>
      <c r="S382" s="186"/>
      <c r="T382" s="187"/>
      <c r="AT382" s="180" t="s">
        <v>107</v>
      </c>
      <c r="AU382" s="180" t="s">
        <v>75</v>
      </c>
      <c r="BK382" s="181">
        <f t="shared" si="91"/>
        <v>0</v>
      </c>
    </row>
    <row r="383" spans="2:65" s="166" customFormat="1" ht="12">
      <c r="B383" s="167"/>
      <c r="C383" s="168">
        <f t="shared" si="106"/>
        <v>161</v>
      </c>
      <c r="D383" s="168" t="s">
        <v>105</v>
      </c>
      <c r="E383" s="169" t="s">
        <v>616</v>
      </c>
      <c r="F383" s="170" t="s">
        <v>618</v>
      </c>
      <c r="G383" s="171" t="s">
        <v>130</v>
      </c>
      <c r="H383" s="288">
        <v>6</v>
      </c>
      <c r="I383" s="172">
        <v>0</v>
      </c>
      <c r="J383" s="172">
        <f>ROUND(I383*H383,2)</f>
        <v>0</v>
      </c>
      <c r="K383" s="173"/>
      <c r="L383" s="174"/>
      <c r="M383" s="175" t="s">
        <v>1</v>
      </c>
      <c r="N383" s="176" t="s">
        <v>33</v>
      </c>
      <c r="O383" s="177">
        <v>0</v>
      </c>
      <c r="P383" s="177">
        <f>O383*H383</f>
        <v>0</v>
      </c>
      <c r="Q383" s="177">
        <v>0</v>
      </c>
      <c r="R383" s="177">
        <f>Q383*H383</f>
        <v>0</v>
      </c>
      <c r="S383" s="177">
        <v>0</v>
      </c>
      <c r="T383" s="178">
        <f>S383*H383</f>
        <v>0</v>
      </c>
      <c r="AR383" s="179" t="s">
        <v>114</v>
      </c>
      <c r="AT383" s="179" t="s">
        <v>105</v>
      </c>
      <c r="AU383" s="179" t="s">
        <v>75</v>
      </c>
      <c r="AY383" s="180" t="s">
        <v>104</v>
      </c>
      <c r="BE383" s="181">
        <f>IF(N383="základní",J383,0)</f>
        <v>0</v>
      </c>
      <c r="BF383" s="181">
        <f>IF(N383="snížená",J383,0)</f>
        <v>0</v>
      </c>
      <c r="BG383" s="181">
        <f>IF(N383="zákl. přenesená",J383,0)</f>
        <v>0</v>
      </c>
      <c r="BH383" s="181">
        <f>IF(N383="sníž. přenesená",J383,0)</f>
        <v>0</v>
      </c>
      <c r="BI383" s="181">
        <f>IF(N383="nulová",J383,0)</f>
        <v>0</v>
      </c>
      <c r="BJ383" s="180" t="s">
        <v>73</v>
      </c>
      <c r="BK383" s="181">
        <f t="shared" si="91"/>
        <v>0</v>
      </c>
      <c r="BL383" s="180" t="s">
        <v>114</v>
      </c>
      <c r="BM383" s="179" t="s">
        <v>508</v>
      </c>
    </row>
    <row r="384" spans="2:65" s="166" customFormat="1" ht="12">
      <c r="B384" s="167"/>
      <c r="C384" s="182"/>
      <c r="D384" s="183" t="s">
        <v>107</v>
      </c>
      <c r="E384" s="182"/>
      <c r="F384" s="184" t="s">
        <v>482</v>
      </c>
      <c r="G384" s="182"/>
      <c r="H384" s="289"/>
      <c r="I384" s="182"/>
      <c r="J384" s="182"/>
      <c r="K384" s="173"/>
      <c r="L384" s="174"/>
      <c r="M384" s="175" t="s">
        <v>1</v>
      </c>
      <c r="N384" s="176" t="s">
        <v>33</v>
      </c>
      <c r="O384" s="177">
        <v>0</v>
      </c>
      <c r="P384" s="177">
        <f>O384*H384</f>
        <v>0</v>
      </c>
      <c r="Q384" s="177">
        <v>0</v>
      </c>
      <c r="R384" s="177">
        <f>Q384*H384</f>
        <v>0</v>
      </c>
      <c r="S384" s="177">
        <v>0</v>
      </c>
      <c r="T384" s="178">
        <f>S384*H384</f>
        <v>0</v>
      </c>
      <c r="AR384" s="179" t="s">
        <v>114</v>
      </c>
      <c r="AT384" s="179" t="s">
        <v>105</v>
      </c>
      <c r="AU384" s="179" t="s">
        <v>75</v>
      </c>
      <c r="AY384" s="180" t="s">
        <v>104</v>
      </c>
      <c r="BE384" s="181">
        <f>IF(N384="základní",J384,0)</f>
        <v>0</v>
      </c>
      <c r="BF384" s="181">
        <f>IF(N384="snížená",J384,0)</f>
        <v>0</v>
      </c>
      <c r="BG384" s="181">
        <f>IF(N384="zákl. přenesená",J384,0)</f>
        <v>0</v>
      </c>
      <c r="BH384" s="181">
        <f>IF(N384="sníž. přenesená",J384,0)</f>
        <v>0</v>
      </c>
      <c r="BI384" s="181">
        <f>IF(N384="nulová",J384,0)</f>
        <v>0</v>
      </c>
      <c r="BJ384" s="180" t="s">
        <v>73</v>
      </c>
      <c r="BK384" s="181">
        <f t="shared" si="91"/>
        <v>0</v>
      </c>
      <c r="BL384" s="180" t="s">
        <v>114</v>
      </c>
      <c r="BM384" s="179" t="s">
        <v>509</v>
      </c>
    </row>
    <row r="385" spans="2:65" s="166" customFormat="1" ht="12">
      <c r="B385" s="167"/>
      <c r="C385" s="168">
        <f>C383+1</f>
        <v>162</v>
      </c>
      <c r="D385" s="168" t="s">
        <v>105</v>
      </c>
      <c r="E385" s="169" t="s">
        <v>616</v>
      </c>
      <c r="F385" s="170" t="s">
        <v>617</v>
      </c>
      <c r="G385" s="171" t="s">
        <v>130</v>
      </c>
      <c r="H385" s="288">
        <v>6</v>
      </c>
      <c r="I385" s="172">
        <v>0</v>
      </c>
      <c r="J385" s="172">
        <f>ROUND(I385*H385,2)</f>
        <v>0</v>
      </c>
      <c r="K385" s="173"/>
      <c r="L385" s="174"/>
      <c r="M385" s="175" t="s">
        <v>1</v>
      </c>
      <c r="N385" s="176" t="s">
        <v>33</v>
      </c>
      <c r="O385" s="177">
        <v>0.113</v>
      </c>
      <c r="P385" s="177">
        <f>O385*H385</f>
        <v>0.678</v>
      </c>
      <c r="Q385" s="177">
        <v>0.00028</v>
      </c>
      <c r="R385" s="177">
        <f>Q385*H385</f>
        <v>0.0016799999999999999</v>
      </c>
      <c r="S385" s="177">
        <v>0</v>
      </c>
      <c r="T385" s="178">
        <f>S385*H385</f>
        <v>0</v>
      </c>
      <c r="AR385" s="179" t="s">
        <v>114</v>
      </c>
      <c r="AT385" s="179" t="s">
        <v>105</v>
      </c>
      <c r="AU385" s="179" t="s">
        <v>75</v>
      </c>
      <c r="AY385" s="180" t="s">
        <v>104</v>
      </c>
      <c r="BE385" s="181">
        <f>IF(N385="základní",J385,0)</f>
        <v>0</v>
      </c>
      <c r="BF385" s="181">
        <f>IF(N385="snížená",J385,0)</f>
        <v>0</v>
      </c>
      <c r="BG385" s="181">
        <f>IF(N385="zákl. přenesená",J385,0)</f>
        <v>0</v>
      </c>
      <c r="BH385" s="181">
        <f>IF(N385="sníž. přenesená",J385,0)</f>
        <v>0</v>
      </c>
      <c r="BI385" s="181">
        <f>IF(N385="nulová",J385,0)</f>
        <v>0</v>
      </c>
      <c r="BJ385" s="180" t="s">
        <v>73</v>
      </c>
      <c r="BK385" s="181">
        <f t="shared" si="91"/>
        <v>0</v>
      </c>
      <c r="BL385" s="180" t="s">
        <v>114</v>
      </c>
      <c r="BM385" s="179" t="s">
        <v>510</v>
      </c>
    </row>
    <row r="386" spans="2:65" s="166" customFormat="1" ht="12">
      <c r="B386" s="167"/>
      <c r="C386" s="168">
        <f aca="true" t="shared" si="107" ref="C386">C385+1</f>
        <v>163</v>
      </c>
      <c r="D386" s="168" t="s">
        <v>105</v>
      </c>
      <c r="E386" s="169" t="s">
        <v>612</v>
      </c>
      <c r="F386" s="170" t="s">
        <v>613</v>
      </c>
      <c r="G386" s="171" t="s">
        <v>111</v>
      </c>
      <c r="H386" s="288">
        <v>6</v>
      </c>
      <c r="I386" s="172">
        <v>0</v>
      </c>
      <c r="J386" s="172">
        <f>ROUND(I386*H386,2)</f>
        <v>0</v>
      </c>
      <c r="K386" s="173"/>
      <c r="L386" s="174"/>
      <c r="M386" s="175" t="s">
        <v>1</v>
      </c>
      <c r="N386" s="176" t="s">
        <v>33</v>
      </c>
      <c r="O386" s="177">
        <v>0</v>
      </c>
      <c r="P386" s="177">
        <f>O386*H386</f>
        <v>0</v>
      </c>
      <c r="Q386" s="177">
        <v>0.0011</v>
      </c>
      <c r="R386" s="177">
        <f>Q386*H386</f>
        <v>0.0066</v>
      </c>
      <c r="S386" s="177">
        <v>0</v>
      </c>
      <c r="T386" s="178">
        <f>S386*H386</f>
        <v>0</v>
      </c>
      <c r="AR386" s="179" t="s">
        <v>115</v>
      </c>
      <c r="AT386" s="179" t="s">
        <v>110</v>
      </c>
      <c r="AU386" s="179" t="s">
        <v>75</v>
      </c>
      <c r="AY386" s="180" t="s">
        <v>104</v>
      </c>
      <c r="BE386" s="181">
        <f>IF(N386="základní",J386,0)</f>
        <v>0</v>
      </c>
      <c r="BF386" s="181">
        <f>IF(N386="snížená",J386,0)</f>
        <v>0</v>
      </c>
      <c r="BG386" s="181">
        <f>IF(N386="zákl. přenesená",J386,0)</f>
        <v>0</v>
      </c>
      <c r="BH386" s="181">
        <f>IF(N386="sníž. přenesená",J386,0)</f>
        <v>0</v>
      </c>
      <c r="BI386" s="181">
        <f>IF(N386="nulová",J386,0)</f>
        <v>0</v>
      </c>
      <c r="BJ386" s="180" t="s">
        <v>73</v>
      </c>
      <c r="BK386" s="181">
        <f t="shared" si="91"/>
        <v>0</v>
      </c>
      <c r="BL386" s="180" t="s">
        <v>114</v>
      </c>
      <c r="BM386" s="179" t="s">
        <v>511</v>
      </c>
    </row>
    <row r="387" spans="2:65" s="166" customFormat="1" ht="19.5">
      <c r="B387" s="167"/>
      <c r="C387" s="182"/>
      <c r="D387" s="183" t="s">
        <v>107</v>
      </c>
      <c r="E387" s="182"/>
      <c r="F387" s="184" t="s">
        <v>614</v>
      </c>
      <c r="G387" s="182"/>
      <c r="H387" s="289"/>
      <c r="I387" s="182"/>
      <c r="J387" s="182"/>
      <c r="K387" s="173"/>
      <c r="L387" s="174"/>
      <c r="M387" s="175" t="s">
        <v>1</v>
      </c>
      <c r="N387" s="176" t="s">
        <v>33</v>
      </c>
      <c r="O387" s="177">
        <v>1.5</v>
      </c>
      <c r="P387" s="177">
        <f>O387*H387</f>
        <v>0</v>
      </c>
      <c r="Q387" s="177">
        <v>0.00059</v>
      </c>
      <c r="R387" s="177">
        <f>Q387*H387</f>
        <v>0</v>
      </c>
      <c r="S387" s="177">
        <v>0</v>
      </c>
      <c r="T387" s="178">
        <f>S387*H387</f>
        <v>0</v>
      </c>
      <c r="AR387" s="179" t="s">
        <v>114</v>
      </c>
      <c r="AT387" s="179" t="s">
        <v>105</v>
      </c>
      <c r="AU387" s="179" t="s">
        <v>75</v>
      </c>
      <c r="AY387" s="180" t="s">
        <v>104</v>
      </c>
      <c r="BE387" s="181">
        <f>IF(N387="základní",J387,0)</f>
        <v>0</v>
      </c>
      <c r="BF387" s="181">
        <f>IF(N387="snížená",J387,0)</f>
        <v>0</v>
      </c>
      <c r="BG387" s="181">
        <f>IF(N387="zákl. přenesená",J387,0)</f>
        <v>0</v>
      </c>
      <c r="BH387" s="181">
        <f>IF(N387="sníž. přenesená",J387,0)</f>
        <v>0</v>
      </c>
      <c r="BI387" s="181">
        <f>IF(N387="nulová",J387,0)</f>
        <v>0</v>
      </c>
      <c r="BJ387" s="180" t="s">
        <v>73</v>
      </c>
      <c r="BK387" s="181">
        <f t="shared" si="91"/>
        <v>0</v>
      </c>
      <c r="BL387" s="180" t="s">
        <v>114</v>
      </c>
      <c r="BM387" s="179" t="s">
        <v>514</v>
      </c>
    </row>
    <row r="388" spans="2:63" s="166" customFormat="1" ht="12">
      <c r="B388" s="167"/>
      <c r="C388" s="168">
        <f>C386+1</f>
        <v>164</v>
      </c>
      <c r="D388" s="168" t="s">
        <v>105</v>
      </c>
      <c r="E388" s="169" t="s">
        <v>499</v>
      </c>
      <c r="F388" s="170" t="s">
        <v>615</v>
      </c>
      <c r="G388" s="171" t="s">
        <v>111</v>
      </c>
      <c r="H388" s="288">
        <v>6</v>
      </c>
      <c r="I388" s="172">
        <v>0</v>
      </c>
      <c r="J388" s="172">
        <f>ROUND(I388*H388,2)</f>
        <v>0</v>
      </c>
      <c r="K388" s="182"/>
      <c r="L388" s="174"/>
      <c r="M388" s="185"/>
      <c r="N388" s="186"/>
      <c r="O388" s="186"/>
      <c r="P388" s="186"/>
      <c r="Q388" s="186"/>
      <c r="R388" s="186"/>
      <c r="S388" s="186"/>
      <c r="T388" s="187"/>
      <c r="AT388" s="180" t="s">
        <v>107</v>
      </c>
      <c r="AU388" s="180" t="s">
        <v>75</v>
      </c>
      <c r="BK388" s="181">
        <f t="shared" si="91"/>
        <v>0</v>
      </c>
    </row>
    <row r="389" spans="2:65" s="166" customFormat="1" ht="24">
      <c r="B389" s="167"/>
      <c r="C389" s="168">
        <f aca="true" t="shared" si="108" ref="C389:C391">C388+1</f>
        <v>165</v>
      </c>
      <c r="D389" s="168" t="s">
        <v>110</v>
      </c>
      <c r="E389" s="169" t="s">
        <v>606</v>
      </c>
      <c r="F389" s="170" t="s">
        <v>609</v>
      </c>
      <c r="G389" s="171" t="s">
        <v>111</v>
      </c>
      <c r="H389" s="288">
        <v>2</v>
      </c>
      <c r="I389" s="172">
        <v>0</v>
      </c>
      <c r="J389" s="172">
        <f aca="true" t="shared" si="109" ref="J389">ROUND(I389*H389,2)</f>
        <v>0</v>
      </c>
      <c r="K389" s="173"/>
      <c r="L389" s="174"/>
      <c r="M389" s="175" t="s">
        <v>1</v>
      </c>
      <c r="N389" s="176" t="s">
        <v>33</v>
      </c>
      <c r="O389" s="177">
        <v>0.414</v>
      </c>
      <c r="P389" s="177">
        <f aca="true" t="shared" si="110" ref="P389:P391">O389*H389</f>
        <v>0.828</v>
      </c>
      <c r="Q389" s="177">
        <v>0.00016</v>
      </c>
      <c r="R389" s="177">
        <f aca="true" t="shared" si="111" ref="R389:R391">Q389*H389</f>
        <v>0.00032</v>
      </c>
      <c r="S389" s="177">
        <v>0</v>
      </c>
      <c r="T389" s="178">
        <f aca="true" t="shared" si="112" ref="T389:T391">S389*H389</f>
        <v>0</v>
      </c>
      <c r="AR389" s="179" t="s">
        <v>114</v>
      </c>
      <c r="AT389" s="179" t="s">
        <v>105</v>
      </c>
      <c r="AU389" s="179" t="s">
        <v>75</v>
      </c>
      <c r="AY389" s="180" t="s">
        <v>104</v>
      </c>
      <c r="BE389" s="181">
        <f aca="true" t="shared" si="113" ref="BE389:BE391">IF(N389="základní",J389,0)</f>
        <v>0</v>
      </c>
      <c r="BF389" s="181">
        <f aca="true" t="shared" si="114" ref="BF389:BF391">IF(N389="snížená",J389,0)</f>
        <v>0</v>
      </c>
      <c r="BG389" s="181">
        <f aca="true" t="shared" si="115" ref="BG389:BG391">IF(N389="zákl. přenesená",J389,0)</f>
        <v>0</v>
      </c>
      <c r="BH389" s="181">
        <f aca="true" t="shared" si="116" ref="BH389:BH391">IF(N389="sníž. přenesená",J389,0)</f>
        <v>0</v>
      </c>
      <c r="BI389" s="181">
        <f aca="true" t="shared" si="117" ref="BI389:BI391">IF(N389="nulová",J389,0)</f>
        <v>0</v>
      </c>
      <c r="BJ389" s="180" t="s">
        <v>73</v>
      </c>
      <c r="BK389" s="181">
        <f t="shared" si="91"/>
        <v>0</v>
      </c>
      <c r="BL389" s="180" t="s">
        <v>114</v>
      </c>
      <c r="BM389" s="179" t="s">
        <v>520</v>
      </c>
    </row>
    <row r="390" spans="2:65" s="166" customFormat="1" ht="24">
      <c r="B390" s="167"/>
      <c r="C390" s="168">
        <f t="shared" si="108"/>
        <v>166</v>
      </c>
      <c r="D390" s="168" t="s">
        <v>110</v>
      </c>
      <c r="E390" s="169" t="s">
        <v>607</v>
      </c>
      <c r="F390" s="170" t="s">
        <v>610</v>
      </c>
      <c r="G390" s="171" t="s">
        <v>111</v>
      </c>
      <c r="H390" s="288">
        <v>1</v>
      </c>
      <c r="I390" s="172">
        <v>0</v>
      </c>
      <c r="J390" s="172">
        <f aca="true" t="shared" si="118" ref="J390">ROUND(I390*H390,2)</f>
        <v>0</v>
      </c>
      <c r="K390" s="173"/>
      <c r="L390" s="174"/>
      <c r="M390" s="205" t="s">
        <v>1</v>
      </c>
      <c r="N390" s="206" t="s">
        <v>33</v>
      </c>
      <c r="O390" s="200">
        <v>0.85</v>
      </c>
      <c r="P390" s="200">
        <f t="shared" si="110"/>
        <v>0.85</v>
      </c>
      <c r="Q390" s="200">
        <v>0.00493</v>
      </c>
      <c r="R390" s="200">
        <f t="shared" si="111"/>
        <v>0.00493</v>
      </c>
      <c r="S390" s="200">
        <v>0</v>
      </c>
      <c r="T390" s="201">
        <f t="shared" si="112"/>
        <v>0</v>
      </c>
      <c r="AR390" s="179" t="s">
        <v>114</v>
      </c>
      <c r="AT390" s="179" t="s">
        <v>105</v>
      </c>
      <c r="AU390" s="179" t="s">
        <v>75</v>
      </c>
      <c r="AY390" s="180" t="s">
        <v>104</v>
      </c>
      <c r="BE390" s="181">
        <f t="shared" si="113"/>
        <v>0</v>
      </c>
      <c r="BF390" s="181">
        <f t="shared" si="114"/>
        <v>0</v>
      </c>
      <c r="BG390" s="181">
        <f t="shared" si="115"/>
        <v>0</v>
      </c>
      <c r="BH390" s="181">
        <f t="shared" si="116"/>
        <v>0</v>
      </c>
      <c r="BI390" s="181">
        <f t="shared" si="117"/>
        <v>0</v>
      </c>
      <c r="BJ390" s="180" t="s">
        <v>73</v>
      </c>
      <c r="BK390" s="181">
        <f t="shared" si="91"/>
        <v>0</v>
      </c>
      <c r="BL390" s="180" t="s">
        <v>114</v>
      </c>
      <c r="BM390" s="179" t="s">
        <v>523</v>
      </c>
    </row>
    <row r="391" spans="2:65" s="166" customFormat="1" ht="24">
      <c r="B391" s="167"/>
      <c r="C391" s="168">
        <f t="shared" si="108"/>
        <v>167</v>
      </c>
      <c r="D391" s="168" t="s">
        <v>110</v>
      </c>
      <c r="E391" s="169" t="s">
        <v>608</v>
      </c>
      <c r="F391" s="170" t="s">
        <v>611</v>
      </c>
      <c r="G391" s="171" t="s">
        <v>111</v>
      </c>
      <c r="H391" s="288">
        <v>2</v>
      </c>
      <c r="I391" s="172">
        <v>0</v>
      </c>
      <c r="J391" s="172">
        <f aca="true" t="shared" si="119" ref="J391">ROUND(I391*H391,2)</f>
        <v>0</v>
      </c>
      <c r="K391" s="173"/>
      <c r="L391" s="174"/>
      <c r="M391" s="205" t="s">
        <v>1</v>
      </c>
      <c r="N391" s="206" t="s">
        <v>33</v>
      </c>
      <c r="O391" s="200">
        <v>0.85</v>
      </c>
      <c r="P391" s="200">
        <f t="shared" si="110"/>
        <v>1.7</v>
      </c>
      <c r="Q391" s="200">
        <v>0.00983</v>
      </c>
      <c r="R391" s="200">
        <f t="shared" si="111"/>
        <v>0.01966</v>
      </c>
      <c r="S391" s="200">
        <v>0</v>
      </c>
      <c r="T391" s="201">
        <f t="shared" si="112"/>
        <v>0</v>
      </c>
      <c r="AR391" s="179" t="s">
        <v>114</v>
      </c>
      <c r="AT391" s="179" t="s">
        <v>105</v>
      </c>
      <c r="AU391" s="179" t="s">
        <v>75</v>
      </c>
      <c r="AY391" s="180" t="s">
        <v>104</v>
      </c>
      <c r="BE391" s="181">
        <f t="shared" si="113"/>
        <v>0</v>
      </c>
      <c r="BF391" s="181">
        <f t="shared" si="114"/>
        <v>0</v>
      </c>
      <c r="BG391" s="181">
        <f t="shared" si="115"/>
        <v>0</v>
      </c>
      <c r="BH391" s="181">
        <f t="shared" si="116"/>
        <v>0</v>
      </c>
      <c r="BI391" s="181">
        <f t="shared" si="117"/>
        <v>0</v>
      </c>
      <c r="BJ391" s="180" t="s">
        <v>73</v>
      </c>
      <c r="BK391" s="181">
        <f t="shared" si="91"/>
        <v>0</v>
      </c>
      <c r="BL391" s="180" t="s">
        <v>114</v>
      </c>
      <c r="BM391" s="179" t="s">
        <v>524</v>
      </c>
    </row>
    <row r="392" spans="2:65" s="166" customFormat="1" ht="24">
      <c r="B392" s="167"/>
      <c r="C392" s="279">
        <f>C391+1</f>
        <v>168</v>
      </c>
      <c r="D392" s="168" t="s">
        <v>105</v>
      </c>
      <c r="E392" s="169" t="s">
        <v>526</v>
      </c>
      <c r="F392" s="170" t="s">
        <v>527</v>
      </c>
      <c r="G392" s="171" t="s">
        <v>108</v>
      </c>
      <c r="H392" s="288">
        <v>0.716</v>
      </c>
      <c r="I392" s="172">
        <v>0</v>
      </c>
      <c r="J392" s="172">
        <f aca="true" t="shared" si="120" ref="J392">ROUND(I392*H392,2)</f>
        <v>0</v>
      </c>
      <c r="K392" s="173"/>
      <c r="L392" s="174"/>
      <c r="M392" s="205" t="s">
        <v>1</v>
      </c>
      <c r="N392" s="206" t="s">
        <v>33</v>
      </c>
      <c r="O392" s="200">
        <v>0.416</v>
      </c>
      <c r="P392" s="200">
        <f>O392*H392</f>
        <v>0.29785599999999995</v>
      </c>
      <c r="Q392" s="200">
        <v>0.00027</v>
      </c>
      <c r="R392" s="200">
        <f>Q392*H392</f>
        <v>0.00019332</v>
      </c>
      <c r="S392" s="200">
        <v>0</v>
      </c>
      <c r="T392" s="201">
        <f>S392*H392</f>
        <v>0</v>
      </c>
      <c r="AR392" s="179" t="s">
        <v>114</v>
      </c>
      <c r="AT392" s="179" t="s">
        <v>105</v>
      </c>
      <c r="AU392" s="179" t="s">
        <v>75</v>
      </c>
      <c r="AY392" s="180" t="s">
        <v>104</v>
      </c>
      <c r="BE392" s="181">
        <f>IF(N392="základní",J392,0)</f>
        <v>0</v>
      </c>
      <c r="BF392" s="181">
        <f>IF(N392="snížená",J392,0)</f>
        <v>0</v>
      </c>
      <c r="BG392" s="181">
        <f>IF(N392="zákl. přenesená",J392,0)</f>
        <v>0</v>
      </c>
      <c r="BH392" s="181">
        <f>IF(N392="sníž. přenesená",J392,0)</f>
        <v>0</v>
      </c>
      <c r="BI392" s="181">
        <f>IF(N392="nulová",J392,0)</f>
        <v>0</v>
      </c>
      <c r="BJ392" s="180" t="s">
        <v>73</v>
      </c>
      <c r="BK392" s="181">
        <f aca="true" t="shared" si="121" ref="BK392:BK393">ROUND(I392*H392,2)</f>
        <v>0</v>
      </c>
      <c r="BL392" s="180" t="s">
        <v>114</v>
      </c>
      <c r="BM392" s="179" t="s">
        <v>525</v>
      </c>
    </row>
    <row r="393" spans="2:63" s="166" customFormat="1" ht="29.25">
      <c r="B393" s="167"/>
      <c r="C393" s="182"/>
      <c r="D393" s="183" t="s">
        <v>107</v>
      </c>
      <c r="E393" s="182"/>
      <c r="F393" s="184" t="s">
        <v>528</v>
      </c>
      <c r="G393" s="182"/>
      <c r="H393" s="289"/>
      <c r="I393" s="182"/>
      <c r="J393" s="182"/>
      <c r="K393" s="182"/>
      <c r="L393" s="174"/>
      <c r="M393" s="185"/>
      <c r="N393" s="186"/>
      <c r="O393" s="186"/>
      <c r="P393" s="186"/>
      <c r="Q393" s="186"/>
      <c r="R393" s="186"/>
      <c r="S393" s="186"/>
      <c r="T393" s="187"/>
      <c r="AT393" s="180" t="s">
        <v>107</v>
      </c>
      <c r="AU393" s="180" t="s">
        <v>75</v>
      </c>
      <c r="BK393" s="181">
        <f t="shared" si="121"/>
        <v>0</v>
      </c>
    </row>
    <row r="394" spans="2:47" s="166" customFormat="1" ht="12">
      <c r="B394" s="167"/>
      <c r="C394" s="182"/>
      <c r="D394" s="183"/>
      <c r="E394" s="182"/>
      <c r="F394" s="184"/>
      <c r="G394" s="182"/>
      <c r="H394" s="289"/>
      <c r="I394" s="182"/>
      <c r="J394" s="182"/>
      <c r="K394" s="182"/>
      <c r="L394" s="174"/>
      <c r="M394" s="185"/>
      <c r="N394" s="186"/>
      <c r="O394" s="186"/>
      <c r="P394" s="186"/>
      <c r="Q394" s="186"/>
      <c r="R394" s="186"/>
      <c r="S394" s="186"/>
      <c r="T394" s="187"/>
      <c r="AT394" s="180" t="s">
        <v>107</v>
      </c>
      <c r="AU394" s="180" t="s">
        <v>75</v>
      </c>
    </row>
    <row r="395" spans="2:63" s="207" customFormat="1" ht="12.75">
      <c r="B395" s="208"/>
      <c r="C395" s="209"/>
      <c r="D395" s="210" t="s">
        <v>67</v>
      </c>
      <c r="E395" s="233" t="s">
        <v>529</v>
      </c>
      <c r="F395" s="233" t="s">
        <v>734</v>
      </c>
      <c r="G395" s="209"/>
      <c r="H395" s="291"/>
      <c r="I395" s="209"/>
      <c r="J395" s="234">
        <f>BK395</f>
        <v>0</v>
      </c>
      <c r="K395" s="209"/>
      <c r="L395" s="212"/>
      <c r="M395" s="213"/>
      <c r="N395" s="214"/>
      <c r="O395" s="214"/>
      <c r="P395" s="215">
        <f>SUM(P396:P413)</f>
        <v>111.4</v>
      </c>
      <c r="Q395" s="214"/>
      <c r="R395" s="215">
        <f>SUM(R396:R413)</f>
        <v>0.2033</v>
      </c>
      <c r="S395" s="214"/>
      <c r="T395" s="216">
        <f>SUM(T396:T413)</f>
        <v>0</v>
      </c>
      <c r="V395" s="294"/>
      <c r="AR395" s="217" t="s">
        <v>75</v>
      </c>
      <c r="AT395" s="218" t="s">
        <v>67</v>
      </c>
      <c r="AU395" s="218" t="s">
        <v>73</v>
      </c>
      <c r="AY395" s="217" t="s">
        <v>104</v>
      </c>
      <c r="BK395" s="181">
        <f>SUM(BK396:BK413)</f>
        <v>0</v>
      </c>
    </row>
    <row r="396" spans="2:65" s="166" customFormat="1" ht="12">
      <c r="B396" s="167"/>
      <c r="C396" s="279">
        <f>C392+1</f>
        <v>169</v>
      </c>
      <c r="D396" s="168" t="s">
        <v>105</v>
      </c>
      <c r="E396" s="169" t="s">
        <v>717</v>
      </c>
      <c r="F396" s="170" t="s">
        <v>720</v>
      </c>
      <c r="G396" s="171" t="s">
        <v>130</v>
      </c>
      <c r="H396" s="288">
        <v>1</v>
      </c>
      <c r="I396" s="172">
        <v>0</v>
      </c>
      <c r="J396" s="172">
        <f aca="true" t="shared" si="122" ref="J396:J408">ROUND(I396*H396,2)</f>
        <v>0</v>
      </c>
      <c r="K396" s="173"/>
      <c r="L396" s="174"/>
      <c r="M396" s="205" t="s">
        <v>1</v>
      </c>
      <c r="N396" s="206" t="s">
        <v>33</v>
      </c>
      <c r="O396" s="200">
        <v>1.7</v>
      </c>
      <c r="P396" s="200">
        <f>O396*H396</f>
        <v>1.7</v>
      </c>
      <c r="Q396" s="200">
        <v>0.0025</v>
      </c>
      <c r="R396" s="200">
        <f>Q396*H396</f>
        <v>0.0025</v>
      </c>
      <c r="S396" s="200">
        <v>0</v>
      </c>
      <c r="T396" s="201">
        <f>S396*H396</f>
        <v>0</v>
      </c>
      <c r="AR396" s="179" t="s">
        <v>114</v>
      </c>
      <c r="AT396" s="179" t="s">
        <v>105</v>
      </c>
      <c r="AU396" s="179" t="s">
        <v>75</v>
      </c>
      <c r="AY396" s="180" t="s">
        <v>104</v>
      </c>
      <c r="BE396" s="181">
        <f>IF(N396="základní",J396,0)</f>
        <v>0</v>
      </c>
      <c r="BF396" s="181">
        <f>IF(N396="snížená",J396,0)</f>
        <v>0</v>
      </c>
      <c r="BG396" s="181">
        <f>IF(N396="zákl. přenesená",J396,0)</f>
        <v>0</v>
      </c>
      <c r="BH396" s="181">
        <f>IF(N396="sníž. přenesená",J396,0)</f>
        <v>0</v>
      </c>
      <c r="BI396" s="181">
        <f>IF(N396="nulová",J396,0)</f>
        <v>0</v>
      </c>
      <c r="BJ396" s="180" t="s">
        <v>73</v>
      </c>
      <c r="BK396" s="181">
        <f>ROUND(I396*H396,2)</f>
        <v>0</v>
      </c>
      <c r="BL396" s="180" t="s">
        <v>114</v>
      </c>
      <c r="BM396" s="179" t="s">
        <v>530</v>
      </c>
    </row>
    <row r="397" spans="2:63" s="166" customFormat="1" ht="12">
      <c r="B397" s="167"/>
      <c r="C397" s="279">
        <f>C396+1</f>
        <v>170</v>
      </c>
      <c r="D397" s="168" t="s">
        <v>105</v>
      </c>
      <c r="E397" s="169" t="s">
        <v>718</v>
      </c>
      <c r="F397" s="170" t="s">
        <v>721</v>
      </c>
      <c r="G397" s="171" t="s">
        <v>130</v>
      </c>
      <c r="H397" s="288">
        <v>1</v>
      </c>
      <c r="I397" s="172">
        <v>0</v>
      </c>
      <c r="J397" s="172">
        <f t="shared" si="122"/>
        <v>0</v>
      </c>
      <c r="K397" s="182"/>
      <c r="L397" s="174"/>
      <c r="M397" s="185"/>
      <c r="N397" s="186"/>
      <c r="O397" s="186"/>
      <c r="P397" s="186"/>
      <c r="Q397" s="186"/>
      <c r="R397" s="186"/>
      <c r="S397" s="186"/>
      <c r="T397" s="187"/>
      <c r="AT397" s="180" t="s">
        <v>107</v>
      </c>
      <c r="AU397" s="180" t="s">
        <v>75</v>
      </c>
      <c r="BK397" s="181">
        <f aca="true" t="shared" si="123" ref="BK397:BK413">ROUND(I397*H397,2)</f>
        <v>0</v>
      </c>
    </row>
    <row r="398" spans="2:65" s="166" customFormat="1" ht="12">
      <c r="B398" s="167"/>
      <c r="C398" s="279">
        <f aca="true" t="shared" si="124" ref="C398:C412">C397+1</f>
        <v>171</v>
      </c>
      <c r="D398" s="168" t="s">
        <v>105</v>
      </c>
      <c r="E398" s="169" t="s">
        <v>719</v>
      </c>
      <c r="F398" s="170" t="s">
        <v>722</v>
      </c>
      <c r="G398" s="171" t="s">
        <v>130</v>
      </c>
      <c r="H398" s="288">
        <v>1</v>
      </c>
      <c r="I398" s="172">
        <v>0</v>
      </c>
      <c r="J398" s="172">
        <f t="shared" si="122"/>
        <v>0</v>
      </c>
      <c r="K398" s="196"/>
      <c r="L398" s="197"/>
      <c r="M398" s="198" t="s">
        <v>1</v>
      </c>
      <c r="N398" s="199" t="s">
        <v>33</v>
      </c>
      <c r="O398" s="200">
        <v>0</v>
      </c>
      <c r="P398" s="200">
        <f>O398*H398</f>
        <v>0</v>
      </c>
      <c r="Q398" s="200">
        <v>0.0025</v>
      </c>
      <c r="R398" s="200">
        <f>Q398*H398</f>
        <v>0.0025</v>
      </c>
      <c r="S398" s="200">
        <v>0</v>
      </c>
      <c r="T398" s="201">
        <f>S398*H398</f>
        <v>0</v>
      </c>
      <c r="AR398" s="179" t="s">
        <v>115</v>
      </c>
      <c r="AT398" s="179" t="s">
        <v>110</v>
      </c>
      <c r="AU398" s="179" t="s">
        <v>75</v>
      </c>
      <c r="AY398" s="180" t="s">
        <v>104</v>
      </c>
      <c r="BE398" s="181">
        <f>IF(N398="základní",J398,0)</f>
        <v>0</v>
      </c>
      <c r="BF398" s="181">
        <f>IF(N398="snížená",J398,0)</f>
        <v>0</v>
      </c>
      <c r="BG398" s="181">
        <f>IF(N398="zákl. přenesená",J398,0)</f>
        <v>0</v>
      </c>
      <c r="BH398" s="181">
        <f>IF(N398="sníž. přenesená",J398,0)</f>
        <v>0</v>
      </c>
      <c r="BI398" s="181">
        <f>IF(N398="nulová",J398,0)</f>
        <v>0</v>
      </c>
      <c r="BJ398" s="180" t="s">
        <v>73</v>
      </c>
      <c r="BK398" s="181">
        <f t="shared" si="123"/>
        <v>0</v>
      </c>
      <c r="BL398" s="180" t="s">
        <v>114</v>
      </c>
      <c r="BM398" s="179" t="s">
        <v>531</v>
      </c>
    </row>
    <row r="399" spans="2:63" s="166" customFormat="1" ht="24">
      <c r="B399" s="167"/>
      <c r="C399" s="279">
        <f t="shared" si="124"/>
        <v>172</v>
      </c>
      <c r="D399" s="168" t="s">
        <v>105</v>
      </c>
      <c r="E399" s="169" t="s">
        <v>723</v>
      </c>
      <c r="F399" s="170" t="s">
        <v>724</v>
      </c>
      <c r="G399" s="171" t="s">
        <v>130</v>
      </c>
      <c r="H399" s="288">
        <v>3</v>
      </c>
      <c r="I399" s="172">
        <v>0</v>
      </c>
      <c r="J399" s="172">
        <f t="shared" si="122"/>
        <v>0</v>
      </c>
      <c r="K399" s="182"/>
      <c r="L399" s="174"/>
      <c r="M399" s="185"/>
      <c r="N399" s="186"/>
      <c r="O399" s="186"/>
      <c r="P399" s="186"/>
      <c r="Q399" s="186"/>
      <c r="R399" s="186"/>
      <c r="S399" s="186"/>
      <c r="T399" s="187"/>
      <c r="AT399" s="180" t="s">
        <v>107</v>
      </c>
      <c r="AU399" s="180" t="s">
        <v>75</v>
      </c>
      <c r="BK399" s="181">
        <f t="shared" si="123"/>
        <v>0</v>
      </c>
    </row>
    <row r="400" spans="2:65" s="166" customFormat="1" ht="24">
      <c r="B400" s="167"/>
      <c r="C400" s="279">
        <f t="shared" si="124"/>
        <v>173</v>
      </c>
      <c r="D400" s="168" t="s">
        <v>105</v>
      </c>
      <c r="E400" s="169" t="s">
        <v>725</v>
      </c>
      <c r="F400" s="170" t="s">
        <v>729</v>
      </c>
      <c r="G400" s="171" t="s">
        <v>130</v>
      </c>
      <c r="H400" s="288">
        <v>1</v>
      </c>
      <c r="I400" s="172">
        <v>0</v>
      </c>
      <c r="J400" s="172">
        <f t="shared" si="122"/>
        <v>0</v>
      </c>
      <c r="K400" s="173"/>
      <c r="L400" s="174"/>
      <c r="M400" s="205" t="s">
        <v>1</v>
      </c>
      <c r="N400" s="206" t="s">
        <v>33</v>
      </c>
      <c r="O400" s="200">
        <v>2.2</v>
      </c>
      <c r="P400" s="200">
        <f>O400*H400</f>
        <v>2.2</v>
      </c>
      <c r="Q400" s="200">
        <v>0.0077</v>
      </c>
      <c r="R400" s="200">
        <f>Q400*H400</f>
        <v>0.0077</v>
      </c>
      <c r="S400" s="200">
        <v>0</v>
      </c>
      <c r="T400" s="201">
        <f>S400*H400</f>
        <v>0</v>
      </c>
      <c r="AR400" s="179" t="s">
        <v>114</v>
      </c>
      <c r="AT400" s="179" t="s">
        <v>105</v>
      </c>
      <c r="AU400" s="179" t="s">
        <v>75</v>
      </c>
      <c r="AY400" s="180" t="s">
        <v>104</v>
      </c>
      <c r="BE400" s="181">
        <f>IF(N400="základní",J400,0)</f>
        <v>0</v>
      </c>
      <c r="BF400" s="181">
        <f>IF(N400="snížená",J400,0)</f>
        <v>0</v>
      </c>
      <c r="BG400" s="181">
        <f>IF(N400="zákl. přenesená",J400,0)</f>
        <v>0</v>
      </c>
      <c r="BH400" s="181">
        <f>IF(N400="sníž. přenesená",J400,0)</f>
        <v>0</v>
      </c>
      <c r="BI400" s="181">
        <f>IF(N400="nulová",J400,0)</f>
        <v>0</v>
      </c>
      <c r="BJ400" s="180" t="s">
        <v>73</v>
      </c>
      <c r="BK400" s="181">
        <f t="shared" si="123"/>
        <v>0</v>
      </c>
      <c r="BL400" s="180" t="s">
        <v>114</v>
      </c>
      <c r="BM400" s="179" t="s">
        <v>532</v>
      </c>
    </row>
    <row r="401" spans="2:63" s="166" customFormat="1" ht="24">
      <c r="B401" s="167"/>
      <c r="C401" s="279">
        <f t="shared" si="124"/>
        <v>174</v>
      </c>
      <c r="D401" s="168" t="s">
        <v>105</v>
      </c>
      <c r="E401" s="169" t="s">
        <v>726</v>
      </c>
      <c r="F401" s="170" t="s">
        <v>730</v>
      </c>
      <c r="G401" s="171" t="s">
        <v>130</v>
      </c>
      <c r="H401" s="288">
        <v>1</v>
      </c>
      <c r="I401" s="172">
        <v>0</v>
      </c>
      <c r="J401" s="172">
        <f t="shared" si="122"/>
        <v>0</v>
      </c>
      <c r="K401" s="182"/>
      <c r="L401" s="174"/>
      <c r="M401" s="185"/>
      <c r="N401" s="186"/>
      <c r="O401" s="186"/>
      <c r="P401" s="186"/>
      <c r="Q401" s="186"/>
      <c r="R401" s="186"/>
      <c r="S401" s="186"/>
      <c r="T401" s="187"/>
      <c r="AT401" s="180" t="s">
        <v>107</v>
      </c>
      <c r="AU401" s="180" t="s">
        <v>75</v>
      </c>
      <c r="BK401" s="181">
        <f t="shared" si="123"/>
        <v>0</v>
      </c>
    </row>
    <row r="402" spans="2:65" s="166" customFormat="1" ht="12">
      <c r="B402" s="167"/>
      <c r="C402" s="279">
        <f t="shared" si="124"/>
        <v>175</v>
      </c>
      <c r="D402" s="168" t="s">
        <v>105</v>
      </c>
      <c r="E402" s="169" t="s">
        <v>727</v>
      </c>
      <c r="F402" s="170" t="s">
        <v>731</v>
      </c>
      <c r="G402" s="171" t="s">
        <v>130</v>
      </c>
      <c r="H402" s="288">
        <v>4</v>
      </c>
      <c r="I402" s="172">
        <v>0</v>
      </c>
      <c r="J402" s="172">
        <f t="shared" si="122"/>
        <v>0</v>
      </c>
      <c r="K402" s="196"/>
      <c r="L402" s="197"/>
      <c r="M402" s="198" t="s">
        <v>1</v>
      </c>
      <c r="N402" s="199" t="s">
        <v>33</v>
      </c>
      <c r="O402" s="200">
        <v>0</v>
      </c>
      <c r="P402" s="200">
        <f>O402*H402</f>
        <v>0</v>
      </c>
      <c r="Q402" s="200">
        <v>0.0067</v>
      </c>
      <c r="R402" s="200">
        <f>Q402*H402</f>
        <v>0.0268</v>
      </c>
      <c r="S402" s="200">
        <v>0</v>
      </c>
      <c r="T402" s="201">
        <f>S402*H402</f>
        <v>0</v>
      </c>
      <c r="AR402" s="179" t="s">
        <v>115</v>
      </c>
      <c r="AT402" s="179" t="s">
        <v>110</v>
      </c>
      <c r="AU402" s="179" t="s">
        <v>75</v>
      </c>
      <c r="AY402" s="180" t="s">
        <v>104</v>
      </c>
      <c r="BE402" s="181">
        <f>IF(N402="základní",J402,0)</f>
        <v>0</v>
      </c>
      <c r="BF402" s="181">
        <f>IF(N402="snížená",J402,0)</f>
        <v>0</v>
      </c>
      <c r="BG402" s="181">
        <f>IF(N402="zákl. přenesená",J402,0)</f>
        <v>0</v>
      </c>
      <c r="BH402" s="181">
        <f>IF(N402="sníž. přenesená",J402,0)</f>
        <v>0</v>
      </c>
      <c r="BI402" s="181">
        <f>IF(N402="nulová",J402,0)</f>
        <v>0</v>
      </c>
      <c r="BJ402" s="180" t="s">
        <v>73</v>
      </c>
      <c r="BK402" s="181">
        <f t="shared" si="123"/>
        <v>0</v>
      </c>
      <c r="BL402" s="180" t="s">
        <v>114</v>
      </c>
      <c r="BM402" s="179" t="s">
        <v>533</v>
      </c>
    </row>
    <row r="403" spans="2:63" s="166" customFormat="1" ht="24">
      <c r="B403" s="167"/>
      <c r="C403" s="279">
        <f t="shared" si="124"/>
        <v>176</v>
      </c>
      <c r="D403" s="168" t="s">
        <v>105</v>
      </c>
      <c r="E403" s="169" t="s">
        <v>728</v>
      </c>
      <c r="F403" s="170" t="s">
        <v>732</v>
      </c>
      <c r="G403" s="171" t="s">
        <v>130</v>
      </c>
      <c r="H403" s="288">
        <v>2</v>
      </c>
      <c r="I403" s="172">
        <v>0</v>
      </c>
      <c r="J403" s="172">
        <f t="shared" si="122"/>
        <v>0</v>
      </c>
      <c r="K403" s="182"/>
      <c r="L403" s="174"/>
      <c r="M403" s="185"/>
      <c r="N403" s="186"/>
      <c r="O403" s="186"/>
      <c r="P403" s="186"/>
      <c r="Q403" s="186"/>
      <c r="R403" s="186"/>
      <c r="S403" s="186"/>
      <c r="T403" s="187"/>
      <c r="AT403" s="180" t="s">
        <v>107</v>
      </c>
      <c r="AU403" s="180" t="s">
        <v>75</v>
      </c>
      <c r="BK403" s="181">
        <f t="shared" si="123"/>
        <v>0</v>
      </c>
    </row>
    <row r="404" spans="2:65" s="166" customFormat="1" ht="12">
      <c r="B404" s="167"/>
      <c r="C404" s="279">
        <f t="shared" si="124"/>
        <v>177</v>
      </c>
      <c r="D404" s="168" t="s">
        <v>105</v>
      </c>
      <c r="E404" s="169" t="s">
        <v>735</v>
      </c>
      <c r="F404" s="170" t="s">
        <v>739</v>
      </c>
      <c r="G404" s="171" t="s">
        <v>130</v>
      </c>
      <c r="H404" s="288">
        <v>3</v>
      </c>
      <c r="I404" s="172">
        <v>0</v>
      </c>
      <c r="J404" s="172">
        <f t="shared" si="122"/>
        <v>0</v>
      </c>
      <c r="K404" s="173"/>
      <c r="L404" s="174"/>
      <c r="M404" s="205" t="s">
        <v>1</v>
      </c>
      <c r="N404" s="206" t="s">
        <v>33</v>
      </c>
      <c r="O404" s="200">
        <v>2.5</v>
      </c>
      <c r="P404" s="200">
        <f>O404*H404</f>
        <v>7.5</v>
      </c>
      <c r="Q404" s="200">
        <v>0.0092</v>
      </c>
      <c r="R404" s="200">
        <f>Q404*H404</f>
        <v>0.0276</v>
      </c>
      <c r="S404" s="200">
        <v>0</v>
      </c>
      <c r="T404" s="201">
        <f>S404*H404</f>
        <v>0</v>
      </c>
      <c r="AR404" s="179" t="s">
        <v>114</v>
      </c>
      <c r="AT404" s="179" t="s">
        <v>105</v>
      </c>
      <c r="AU404" s="179" t="s">
        <v>75</v>
      </c>
      <c r="AY404" s="180" t="s">
        <v>104</v>
      </c>
      <c r="BE404" s="181">
        <f>IF(N404="základní",J404,0)</f>
        <v>0</v>
      </c>
      <c r="BF404" s="181">
        <f>IF(N404="snížená",J404,0)</f>
        <v>0</v>
      </c>
      <c r="BG404" s="181">
        <f>IF(N404="zákl. přenesená",J404,0)</f>
        <v>0</v>
      </c>
      <c r="BH404" s="181">
        <f>IF(N404="sníž. přenesená",J404,0)</f>
        <v>0</v>
      </c>
      <c r="BI404" s="181">
        <f>IF(N404="nulová",J404,0)</f>
        <v>0</v>
      </c>
      <c r="BJ404" s="180" t="s">
        <v>73</v>
      </c>
      <c r="BK404" s="181">
        <f t="shared" si="123"/>
        <v>0</v>
      </c>
      <c r="BL404" s="180" t="s">
        <v>114</v>
      </c>
      <c r="BM404" s="179" t="s">
        <v>534</v>
      </c>
    </row>
    <row r="405" spans="2:63" s="166" customFormat="1" ht="24">
      <c r="B405" s="167"/>
      <c r="C405" s="279">
        <f t="shared" si="124"/>
        <v>178</v>
      </c>
      <c r="D405" s="168" t="s">
        <v>105</v>
      </c>
      <c r="E405" s="169" t="s">
        <v>736</v>
      </c>
      <c r="F405" s="170" t="s">
        <v>740</v>
      </c>
      <c r="G405" s="171" t="s">
        <v>130</v>
      </c>
      <c r="H405" s="288">
        <v>1</v>
      </c>
      <c r="I405" s="172">
        <v>0</v>
      </c>
      <c r="J405" s="172">
        <f t="shared" si="122"/>
        <v>0</v>
      </c>
      <c r="K405" s="182"/>
      <c r="L405" s="174"/>
      <c r="M405" s="185"/>
      <c r="N405" s="186"/>
      <c r="O405" s="186"/>
      <c r="P405" s="186"/>
      <c r="Q405" s="186"/>
      <c r="R405" s="186"/>
      <c r="S405" s="186"/>
      <c r="T405" s="187"/>
      <c r="AT405" s="180" t="s">
        <v>107</v>
      </c>
      <c r="AU405" s="180" t="s">
        <v>75</v>
      </c>
      <c r="BK405" s="181">
        <f t="shared" si="123"/>
        <v>0</v>
      </c>
    </row>
    <row r="406" spans="2:65" s="166" customFormat="1" ht="24">
      <c r="B406" s="167"/>
      <c r="C406" s="279">
        <f t="shared" si="124"/>
        <v>179</v>
      </c>
      <c r="D406" s="168" t="s">
        <v>105</v>
      </c>
      <c r="E406" s="169" t="s">
        <v>541</v>
      </c>
      <c r="F406" s="170" t="s">
        <v>741</v>
      </c>
      <c r="G406" s="171" t="s">
        <v>130</v>
      </c>
      <c r="H406" s="288">
        <v>1</v>
      </c>
      <c r="I406" s="172">
        <v>0</v>
      </c>
      <c r="J406" s="172">
        <f t="shared" si="122"/>
        <v>0</v>
      </c>
      <c r="K406" s="196"/>
      <c r="L406" s="197"/>
      <c r="M406" s="198" t="s">
        <v>1</v>
      </c>
      <c r="N406" s="199" t="s">
        <v>33</v>
      </c>
      <c r="O406" s="200">
        <v>0</v>
      </c>
      <c r="P406" s="200">
        <f>O406*H406</f>
        <v>0</v>
      </c>
      <c r="Q406" s="200">
        <v>0.0087</v>
      </c>
      <c r="R406" s="200">
        <f>Q406*H406</f>
        <v>0.0087</v>
      </c>
      <c r="S406" s="200">
        <v>0</v>
      </c>
      <c r="T406" s="201">
        <f>S406*H406</f>
        <v>0</v>
      </c>
      <c r="AR406" s="179" t="s">
        <v>115</v>
      </c>
      <c r="AT406" s="179" t="s">
        <v>110</v>
      </c>
      <c r="AU406" s="179" t="s">
        <v>75</v>
      </c>
      <c r="AY406" s="180" t="s">
        <v>104</v>
      </c>
      <c r="BE406" s="181">
        <f>IF(N406="základní",J406,0)</f>
        <v>0</v>
      </c>
      <c r="BF406" s="181">
        <f>IF(N406="snížená",J406,0)</f>
        <v>0</v>
      </c>
      <c r="BG406" s="181">
        <f>IF(N406="zákl. přenesená",J406,0)</f>
        <v>0</v>
      </c>
      <c r="BH406" s="181">
        <f>IF(N406="sníž. přenesená",J406,0)</f>
        <v>0</v>
      </c>
      <c r="BI406" s="181">
        <f>IF(N406="nulová",J406,0)</f>
        <v>0</v>
      </c>
      <c r="BJ406" s="180" t="s">
        <v>73</v>
      </c>
      <c r="BK406" s="181">
        <f t="shared" si="123"/>
        <v>0</v>
      </c>
      <c r="BL406" s="180" t="s">
        <v>114</v>
      </c>
      <c r="BM406" s="179" t="s">
        <v>535</v>
      </c>
    </row>
    <row r="407" spans="2:63" s="166" customFormat="1" ht="12">
      <c r="B407" s="167"/>
      <c r="C407" s="279">
        <f t="shared" si="124"/>
        <v>180</v>
      </c>
      <c r="D407" s="168" t="s">
        <v>105</v>
      </c>
      <c r="E407" s="169" t="s">
        <v>737</v>
      </c>
      <c r="F407" s="170" t="s">
        <v>742</v>
      </c>
      <c r="G407" s="171" t="s">
        <v>130</v>
      </c>
      <c r="H407" s="288">
        <v>4</v>
      </c>
      <c r="I407" s="172">
        <v>0</v>
      </c>
      <c r="J407" s="172">
        <f t="shared" si="122"/>
        <v>0</v>
      </c>
      <c r="K407" s="182"/>
      <c r="L407" s="174"/>
      <c r="M407" s="185"/>
      <c r="N407" s="186"/>
      <c r="O407" s="186"/>
      <c r="P407" s="186"/>
      <c r="Q407" s="186"/>
      <c r="R407" s="186"/>
      <c r="S407" s="186"/>
      <c r="T407" s="187"/>
      <c r="AT407" s="180" t="s">
        <v>107</v>
      </c>
      <c r="AU407" s="180" t="s">
        <v>75</v>
      </c>
      <c r="BK407" s="181">
        <f t="shared" si="123"/>
        <v>0</v>
      </c>
    </row>
    <row r="408" spans="2:65" s="166" customFormat="1" ht="12">
      <c r="B408" s="167"/>
      <c r="C408" s="279">
        <f t="shared" si="124"/>
        <v>181</v>
      </c>
      <c r="D408" s="168" t="s">
        <v>105</v>
      </c>
      <c r="E408" s="169" t="s">
        <v>738</v>
      </c>
      <c r="F408" s="170" t="s">
        <v>743</v>
      </c>
      <c r="G408" s="171" t="s">
        <v>130</v>
      </c>
      <c r="H408" s="288">
        <v>2</v>
      </c>
      <c r="I408" s="172">
        <v>0</v>
      </c>
      <c r="J408" s="172">
        <f t="shared" si="122"/>
        <v>0</v>
      </c>
      <c r="K408" s="196"/>
      <c r="L408" s="197"/>
      <c r="M408" s="198" t="s">
        <v>1</v>
      </c>
      <c r="N408" s="199" t="s">
        <v>33</v>
      </c>
      <c r="O408" s="200">
        <v>0</v>
      </c>
      <c r="P408" s="200">
        <f>O408*H408</f>
        <v>0</v>
      </c>
      <c r="Q408" s="200">
        <v>0.001</v>
      </c>
      <c r="R408" s="200">
        <f>Q408*H408</f>
        <v>0.002</v>
      </c>
      <c r="S408" s="200">
        <v>0</v>
      </c>
      <c r="T408" s="201">
        <f>S408*H408</f>
        <v>0</v>
      </c>
      <c r="AR408" s="179" t="s">
        <v>115</v>
      </c>
      <c r="AT408" s="179" t="s">
        <v>110</v>
      </c>
      <c r="AU408" s="179" t="s">
        <v>75</v>
      </c>
      <c r="AY408" s="180" t="s">
        <v>104</v>
      </c>
      <c r="BE408" s="181">
        <f>IF(N408="základní",J408,0)</f>
        <v>0</v>
      </c>
      <c r="BF408" s="181">
        <f>IF(N408="snížená",J408,0)</f>
        <v>0</v>
      </c>
      <c r="BG408" s="181">
        <f>IF(N408="zákl. přenesená",J408,0)</f>
        <v>0</v>
      </c>
      <c r="BH408" s="181">
        <f>IF(N408="sníž. přenesená",J408,0)</f>
        <v>0</v>
      </c>
      <c r="BI408" s="181">
        <f>IF(N408="nulová",J408,0)</f>
        <v>0</v>
      </c>
      <c r="BJ408" s="180" t="s">
        <v>73</v>
      </c>
      <c r="BK408" s="181">
        <f t="shared" si="123"/>
        <v>0</v>
      </c>
      <c r="BL408" s="180" t="s">
        <v>114</v>
      </c>
      <c r="BM408" s="179" t="s">
        <v>536</v>
      </c>
    </row>
    <row r="409" spans="2:65" s="166" customFormat="1" ht="24">
      <c r="B409" s="167"/>
      <c r="C409" s="279">
        <f t="shared" si="124"/>
        <v>182</v>
      </c>
      <c r="D409" s="168" t="s">
        <v>105</v>
      </c>
      <c r="E409" s="169" t="s">
        <v>542</v>
      </c>
      <c r="F409" s="170" t="s">
        <v>744</v>
      </c>
      <c r="G409" s="171" t="s">
        <v>112</v>
      </c>
      <c r="H409" s="288">
        <v>50</v>
      </c>
      <c r="I409" s="172">
        <v>0</v>
      </c>
      <c r="J409" s="172">
        <f aca="true" t="shared" si="125" ref="J409">ROUND(I409*H409,2)</f>
        <v>0</v>
      </c>
      <c r="K409" s="196"/>
      <c r="L409" s="197"/>
      <c r="M409" s="198" t="s">
        <v>1</v>
      </c>
      <c r="N409" s="199" t="s">
        <v>33</v>
      </c>
      <c r="O409" s="200">
        <v>0</v>
      </c>
      <c r="P409" s="200">
        <f>O409*H409</f>
        <v>0</v>
      </c>
      <c r="Q409" s="200">
        <v>0.0005</v>
      </c>
      <c r="R409" s="200">
        <f>Q409*H409</f>
        <v>0.025</v>
      </c>
      <c r="S409" s="200">
        <v>0</v>
      </c>
      <c r="T409" s="201">
        <f>S409*H409</f>
        <v>0</v>
      </c>
      <c r="AR409" s="179" t="s">
        <v>115</v>
      </c>
      <c r="AT409" s="179" t="s">
        <v>110</v>
      </c>
      <c r="AU409" s="179" t="s">
        <v>75</v>
      </c>
      <c r="AY409" s="180" t="s">
        <v>104</v>
      </c>
      <c r="BE409" s="181">
        <f>IF(N409="základní",J409,0)</f>
        <v>0</v>
      </c>
      <c r="BF409" s="181">
        <f>IF(N409="snížená",J409,0)</f>
        <v>0</v>
      </c>
      <c r="BG409" s="181">
        <f>IF(N409="zákl. přenesená",J409,0)</f>
        <v>0</v>
      </c>
      <c r="BH409" s="181">
        <f>IF(N409="sníž. přenesená",J409,0)</f>
        <v>0</v>
      </c>
      <c r="BI409" s="181">
        <f>IF(N409="nulová",J409,0)</f>
        <v>0</v>
      </c>
      <c r="BJ409" s="180" t="s">
        <v>73</v>
      </c>
      <c r="BK409" s="181">
        <f t="shared" si="123"/>
        <v>0</v>
      </c>
      <c r="BL409" s="180" t="s">
        <v>114</v>
      </c>
      <c r="BM409" s="179" t="s">
        <v>537</v>
      </c>
    </row>
    <row r="410" spans="2:65" s="166" customFormat="1" ht="24">
      <c r="B410" s="167"/>
      <c r="C410" s="279">
        <f t="shared" si="124"/>
        <v>183</v>
      </c>
      <c r="D410" s="168" t="s">
        <v>105</v>
      </c>
      <c r="E410" s="169" t="s">
        <v>543</v>
      </c>
      <c r="F410" s="170" t="s">
        <v>745</v>
      </c>
      <c r="G410" s="171" t="s">
        <v>112</v>
      </c>
      <c r="H410" s="288">
        <v>50</v>
      </c>
      <c r="I410" s="172">
        <v>0</v>
      </c>
      <c r="J410" s="172">
        <f aca="true" t="shared" si="126" ref="J410">ROUND(I410*H410,2)</f>
        <v>0</v>
      </c>
      <c r="K410" s="173"/>
      <c r="L410" s="174"/>
      <c r="M410" s="205" t="s">
        <v>1</v>
      </c>
      <c r="N410" s="206" t="s">
        <v>33</v>
      </c>
      <c r="O410" s="200">
        <v>0</v>
      </c>
      <c r="P410" s="200">
        <f>O410*H410</f>
        <v>0</v>
      </c>
      <c r="Q410" s="200">
        <v>0</v>
      </c>
      <c r="R410" s="200">
        <f>Q410*H410</f>
        <v>0</v>
      </c>
      <c r="S410" s="200">
        <v>0</v>
      </c>
      <c r="T410" s="201">
        <f>S410*H410</f>
        <v>0</v>
      </c>
      <c r="AR410" s="179" t="s">
        <v>114</v>
      </c>
      <c r="AT410" s="179" t="s">
        <v>105</v>
      </c>
      <c r="AU410" s="179" t="s">
        <v>75</v>
      </c>
      <c r="AY410" s="180" t="s">
        <v>104</v>
      </c>
      <c r="BE410" s="181">
        <f>IF(N410="základní",J410,0)</f>
        <v>0</v>
      </c>
      <c r="BF410" s="181">
        <f>IF(N410="snížená",J410,0)</f>
        <v>0</v>
      </c>
      <c r="BG410" s="181">
        <f>IF(N410="zákl. přenesená",J410,0)</f>
        <v>0</v>
      </c>
      <c r="BH410" s="181">
        <f>IF(N410="sníž. přenesená",J410,0)</f>
        <v>0</v>
      </c>
      <c r="BI410" s="181">
        <f>IF(N410="nulová",J410,0)</f>
        <v>0</v>
      </c>
      <c r="BJ410" s="180" t="s">
        <v>73</v>
      </c>
      <c r="BK410" s="181">
        <f t="shared" si="123"/>
        <v>0</v>
      </c>
      <c r="BL410" s="180" t="s">
        <v>114</v>
      </c>
      <c r="BM410" s="179" t="s">
        <v>538</v>
      </c>
    </row>
    <row r="411" spans="2:65" s="166" customFormat="1" ht="24">
      <c r="B411" s="167"/>
      <c r="C411" s="279">
        <f t="shared" si="124"/>
        <v>184</v>
      </c>
      <c r="D411" s="168" t="s">
        <v>105</v>
      </c>
      <c r="E411" s="169" t="s">
        <v>422</v>
      </c>
      <c r="F411" s="170" t="s">
        <v>747</v>
      </c>
      <c r="G411" s="171" t="s">
        <v>112</v>
      </c>
      <c r="H411" s="288">
        <v>200</v>
      </c>
      <c r="I411" s="172">
        <v>0</v>
      </c>
      <c r="J411" s="172">
        <f aca="true" t="shared" si="127" ref="J411">ROUND(I411*H411,2)</f>
        <v>0</v>
      </c>
      <c r="K411" s="173"/>
      <c r="L411" s="174"/>
      <c r="M411" s="205" t="s">
        <v>1</v>
      </c>
      <c r="N411" s="206" t="s">
        <v>33</v>
      </c>
      <c r="O411" s="200">
        <v>0.5</v>
      </c>
      <c r="P411" s="200">
        <f>O411*H411</f>
        <v>100</v>
      </c>
      <c r="Q411" s="200">
        <v>0.0005</v>
      </c>
      <c r="R411" s="200">
        <f>Q411*H411</f>
        <v>0.1</v>
      </c>
      <c r="S411" s="200">
        <v>0</v>
      </c>
      <c r="T411" s="201">
        <f>S411*H411</f>
        <v>0</v>
      </c>
      <c r="AR411" s="179" t="s">
        <v>114</v>
      </c>
      <c r="AT411" s="179" t="s">
        <v>105</v>
      </c>
      <c r="AU411" s="179" t="s">
        <v>75</v>
      </c>
      <c r="AY411" s="180" t="s">
        <v>104</v>
      </c>
      <c r="BE411" s="181">
        <f>IF(N411="základní",J411,0)</f>
        <v>0</v>
      </c>
      <c r="BF411" s="181">
        <f>IF(N411="snížená",J411,0)</f>
        <v>0</v>
      </c>
      <c r="BG411" s="181">
        <f>IF(N411="zákl. přenesená",J411,0)</f>
        <v>0</v>
      </c>
      <c r="BH411" s="181">
        <f>IF(N411="sníž. přenesená",J411,0)</f>
        <v>0</v>
      </c>
      <c r="BI411" s="181">
        <f>IF(N411="nulová",J411,0)</f>
        <v>0</v>
      </c>
      <c r="BJ411" s="180" t="s">
        <v>73</v>
      </c>
      <c r="BK411" s="181">
        <f t="shared" si="123"/>
        <v>0</v>
      </c>
      <c r="BL411" s="180" t="s">
        <v>114</v>
      </c>
      <c r="BM411" s="179" t="s">
        <v>539</v>
      </c>
    </row>
    <row r="412" spans="2:65" s="166" customFormat="1" ht="24">
      <c r="B412" s="167"/>
      <c r="C412" s="279">
        <f t="shared" si="124"/>
        <v>185</v>
      </c>
      <c r="D412" s="168" t="s">
        <v>105</v>
      </c>
      <c r="E412" s="169" t="s">
        <v>746</v>
      </c>
      <c r="F412" s="170" t="s">
        <v>748</v>
      </c>
      <c r="G412" s="171" t="s">
        <v>130</v>
      </c>
      <c r="H412" s="288">
        <v>1</v>
      </c>
      <c r="I412" s="172">
        <v>0</v>
      </c>
      <c r="J412" s="172">
        <f aca="true" t="shared" si="128" ref="J412">ROUND(I412*H412,2)</f>
        <v>0</v>
      </c>
      <c r="K412" s="196"/>
      <c r="L412" s="197"/>
      <c r="M412" s="198" t="s">
        <v>1</v>
      </c>
      <c r="N412" s="199" t="s">
        <v>33</v>
      </c>
      <c r="O412" s="200">
        <v>0</v>
      </c>
      <c r="P412" s="200">
        <f>O412*H412</f>
        <v>0</v>
      </c>
      <c r="Q412" s="200">
        <v>0.0005</v>
      </c>
      <c r="R412" s="200">
        <f>Q412*H412</f>
        <v>0.0005</v>
      </c>
      <c r="S412" s="200">
        <v>0</v>
      </c>
      <c r="T412" s="201">
        <f>S412*H412</f>
        <v>0</v>
      </c>
      <c r="AR412" s="179" t="s">
        <v>115</v>
      </c>
      <c r="AT412" s="179" t="s">
        <v>110</v>
      </c>
      <c r="AU412" s="179" t="s">
        <v>75</v>
      </c>
      <c r="AY412" s="180" t="s">
        <v>104</v>
      </c>
      <c r="BE412" s="181">
        <f>IF(N412="základní",J412,0)</f>
        <v>0</v>
      </c>
      <c r="BF412" s="181">
        <f>IF(N412="snížená",J412,0)</f>
        <v>0</v>
      </c>
      <c r="BG412" s="181">
        <f>IF(N412="zákl. přenesená",J412,0)</f>
        <v>0</v>
      </c>
      <c r="BH412" s="181">
        <f>IF(N412="sníž. přenesená",J412,0)</f>
        <v>0</v>
      </c>
      <c r="BI412" s="181">
        <f>IF(N412="nulová",J412,0)</f>
        <v>0</v>
      </c>
      <c r="BJ412" s="180" t="s">
        <v>73</v>
      </c>
      <c r="BK412" s="181">
        <f t="shared" si="123"/>
        <v>0</v>
      </c>
      <c r="BL412" s="180" t="s">
        <v>114</v>
      </c>
      <c r="BM412" s="179" t="s">
        <v>540</v>
      </c>
    </row>
    <row r="413" spans="2:63" s="166" customFormat="1" ht="12">
      <c r="B413" s="167"/>
      <c r="C413" s="182"/>
      <c r="D413" s="203"/>
      <c r="E413" s="202"/>
      <c r="F413" s="204"/>
      <c r="G413" s="202"/>
      <c r="H413" s="289"/>
      <c r="I413" s="202"/>
      <c r="J413" s="202"/>
      <c r="K413" s="182"/>
      <c r="L413" s="174"/>
      <c r="M413" s="185"/>
      <c r="N413" s="186"/>
      <c r="O413" s="186"/>
      <c r="P413" s="186"/>
      <c r="Q413" s="186"/>
      <c r="R413" s="186"/>
      <c r="S413" s="186"/>
      <c r="T413" s="187"/>
      <c r="AT413" s="180" t="s">
        <v>107</v>
      </c>
      <c r="AU413" s="180" t="s">
        <v>75</v>
      </c>
      <c r="BK413" s="181">
        <f t="shared" si="123"/>
        <v>0</v>
      </c>
    </row>
    <row r="414" spans="2:63" s="219" customFormat="1" ht="12.75">
      <c r="B414" s="220"/>
      <c r="C414" s="221"/>
      <c r="D414" s="222" t="s">
        <v>67</v>
      </c>
      <c r="E414" s="233" t="s">
        <v>126</v>
      </c>
      <c r="F414" s="233" t="s">
        <v>127</v>
      </c>
      <c r="G414" s="221"/>
      <c r="H414" s="291"/>
      <c r="I414" s="221"/>
      <c r="J414" s="234">
        <f>BK414</f>
        <v>0</v>
      </c>
      <c r="K414" s="221"/>
      <c r="L414" s="293"/>
      <c r="M414" s="226"/>
      <c r="N414" s="227"/>
      <c r="O414" s="227"/>
      <c r="P414" s="228">
        <f>SUM(P415:P428)</f>
        <v>3.42</v>
      </c>
      <c r="Q414" s="227"/>
      <c r="R414" s="228">
        <f>SUM(R415:R428)</f>
        <v>0.0339</v>
      </c>
      <c r="S414" s="227"/>
      <c r="T414" s="229">
        <f>SUM(T415:T428)</f>
        <v>0</v>
      </c>
      <c r="V414" s="277"/>
      <c r="AR414" s="230" t="s">
        <v>75</v>
      </c>
      <c r="AT414" s="231" t="s">
        <v>67</v>
      </c>
      <c r="AU414" s="231" t="s">
        <v>73</v>
      </c>
      <c r="AY414" s="230" t="s">
        <v>104</v>
      </c>
      <c r="BK414" s="232">
        <f>SUM(BK415:BK428)</f>
        <v>0</v>
      </c>
    </row>
    <row r="415" spans="2:65" s="166" customFormat="1" ht="12">
      <c r="B415" s="167"/>
      <c r="C415" s="168">
        <f>C412+1</f>
        <v>186</v>
      </c>
      <c r="D415" s="168" t="s">
        <v>105</v>
      </c>
      <c r="E415" s="169" t="s">
        <v>544</v>
      </c>
      <c r="F415" s="170" t="s">
        <v>545</v>
      </c>
      <c r="G415" s="171" t="s">
        <v>130</v>
      </c>
      <c r="H415" s="288">
        <v>30</v>
      </c>
      <c r="I415" s="172">
        <v>0</v>
      </c>
      <c r="J415" s="172">
        <f>ROUND(I415*H415,2)</f>
        <v>0</v>
      </c>
      <c r="K415" s="173"/>
      <c r="L415" s="174"/>
      <c r="M415" s="205" t="s">
        <v>1</v>
      </c>
      <c r="N415" s="206" t="s">
        <v>33</v>
      </c>
      <c r="O415" s="200">
        <v>0.114</v>
      </c>
      <c r="P415" s="200">
        <f>O415*H415</f>
        <v>3.42</v>
      </c>
      <c r="Q415" s="200">
        <v>0.00113</v>
      </c>
      <c r="R415" s="200">
        <f>Q415*H415</f>
        <v>0.0339</v>
      </c>
      <c r="S415" s="200">
        <v>0</v>
      </c>
      <c r="T415" s="201">
        <f>S415*H415</f>
        <v>0</v>
      </c>
      <c r="AR415" s="179" t="s">
        <v>114</v>
      </c>
      <c r="AT415" s="179" t="s">
        <v>105</v>
      </c>
      <c r="AU415" s="179" t="s">
        <v>75</v>
      </c>
      <c r="AY415" s="180" t="s">
        <v>104</v>
      </c>
      <c r="BE415" s="181">
        <f>IF(N415="základní",J415,0)</f>
        <v>0</v>
      </c>
      <c r="BF415" s="181">
        <f>IF(N415="snížená",J415,0)</f>
        <v>0</v>
      </c>
      <c r="BG415" s="181">
        <f>IF(N415="zákl. přenesená",J415,0)</f>
        <v>0</v>
      </c>
      <c r="BH415" s="181">
        <f>IF(N415="sníž. přenesená",J415,0)</f>
        <v>0</v>
      </c>
      <c r="BI415" s="181">
        <f>IF(N415="nulová",J415,0)</f>
        <v>0</v>
      </c>
      <c r="BJ415" s="180" t="s">
        <v>73</v>
      </c>
      <c r="BK415" s="181">
        <f>ROUND(I415*H415,2)</f>
        <v>0</v>
      </c>
      <c r="BL415" s="180" t="s">
        <v>114</v>
      </c>
      <c r="BM415" s="179" t="s">
        <v>546</v>
      </c>
    </row>
    <row r="416" spans="2:47" s="166" customFormat="1" ht="12">
      <c r="B416" s="167"/>
      <c r="C416" s="182"/>
      <c r="D416" s="235" t="s">
        <v>107</v>
      </c>
      <c r="E416" s="182"/>
      <c r="F416" s="184" t="s">
        <v>547</v>
      </c>
      <c r="G416" s="182"/>
      <c r="H416" s="289"/>
      <c r="I416" s="182"/>
      <c r="J416" s="182"/>
      <c r="K416" s="182"/>
      <c r="L416" s="174"/>
      <c r="M416" s="185"/>
      <c r="N416" s="186"/>
      <c r="O416" s="186"/>
      <c r="P416" s="186"/>
      <c r="Q416" s="186"/>
      <c r="R416" s="186"/>
      <c r="S416" s="186"/>
      <c r="T416" s="187"/>
      <c r="AT416" s="180" t="s">
        <v>107</v>
      </c>
      <c r="AU416" s="180" t="s">
        <v>75</v>
      </c>
    </row>
    <row r="417" spans="2:65" s="166" customFormat="1" ht="12">
      <c r="B417" s="167"/>
      <c r="C417" s="168">
        <f>C415+1</f>
        <v>187</v>
      </c>
      <c r="D417" s="168" t="s">
        <v>105</v>
      </c>
      <c r="E417" s="169" t="s">
        <v>128</v>
      </c>
      <c r="F417" s="170" t="s">
        <v>129</v>
      </c>
      <c r="G417" s="171" t="s">
        <v>130</v>
      </c>
      <c r="H417" s="288">
        <v>1</v>
      </c>
      <c r="I417" s="172">
        <v>0</v>
      </c>
      <c r="J417" s="172">
        <f>ROUND(I417*H417,2)</f>
        <v>0</v>
      </c>
      <c r="K417" s="173"/>
      <c r="L417" s="174"/>
      <c r="M417" s="205" t="s">
        <v>1</v>
      </c>
      <c r="N417" s="206" t="s">
        <v>33</v>
      </c>
      <c r="O417" s="200">
        <v>0</v>
      </c>
      <c r="P417" s="200">
        <f>O417*H417</f>
        <v>0</v>
      </c>
      <c r="Q417" s="200">
        <v>0</v>
      </c>
      <c r="R417" s="200">
        <f>Q417*H417</f>
        <v>0</v>
      </c>
      <c r="S417" s="200">
        <v>0</v>
      </c>
      <c r="T417" s="201">
        <f>S417*H417</f>
        <v>0</v>
      </c>
      <c r="AR417" s="179" t="s">
        <v>114</v>
      </c>
      <c r="AT417" s="179" t="s">
        <v>105</v>
      </c>
      <c r="AU417" s="179" t="s">
        <v>75</v>
      </c>
      <c r="AY417" s="180" t="s">
        <v>104</v>
      </c>
      <c r="BE417" s="181">
        <f>IF(N417="základní",J417,0)</f>
        <v>0</v>
      </c>
      <c r="BF417" s="181">
        <f>IF(N417="snížená",J417,0)</f>
        <v>0</v>
      </c>
      <c r="BG417" s="181">
        <f>IF(N417="zákl. přenesená",J417,0)</f>
        <v>0</v>
      </c>
      <c r="BH417" s="181">
        <f>IF(N417="sníž. přenesená",J417,0)</f>
        <v>0</v>
      </c>
      <c r="BI417" s="181">
        <f>IF(N417="nulová",J417,0)</f>
        <v>0</v>
      </c>
      <c r="BJ417" s="180" t="s">
        <v>73</v>
      </c>
      <c r="BK417" s="181">
        <f>ROUND(I417*H417,2)</f>
        <v>0</v>
      </c>
      <c r="BL417" s="180" t="s">
        <v>114</v>
      </c>
      <c r="BM417" s="179" t="s">
        <v>548</v>
      </c>
    </row>
    <row r="418" spans="2:47" s="166" customFormat="1" ht="12">
      <c r="B418" s="167"/>
      <c r="C418" s="182"/>
      <c r="D418" s="235" t="s">
        <v>107</v>
      </c>
      <c r="E418" s="182"/>
      <c r="F418" s="184" t="s">
        <v>129</v>
      </c>
      <c r="G418" s="182"/>
      <c r="H418" s="289"/>
      <c r="I418" s="182"/>
      <c r="J418" s="182"/>
      <c r="K418" s="182"/>
      <c r="L418" s="174"/>
      <c r="M418" s="185"/>
      <c r="N418" s="186"/>
      <c r="O418" s="186"/>
      <c r="P418" s="186"/>
      <c r="Q418" s="186"/>
      <c r="R418" s="186"/>
      <c r="S418" s="186"/>
      <c r="T418" s="187"/>
      <c r="AT418" s="180" t="s">
        <v>107</v>
      </c>
      <c r="AU418" s="180" t="s">
        <v>75</v>
      </c>
    </row>
    <row r="419" spans="2:65" s="166" customFormat="1" ht="12">
      <c r="B419" s="167"/>
      <c r="C419" s="168">
        <f>C417+1</f>
        <v>188</v>
      </c>
      <c r="D419" s="168" t="s">
        <v>105</v>
      </c>
      <c r="E419" s="169" t="s">
        <v>549</v>
      </c>
      <c r="F419" s="170" t="s">
        <v>550</v>
      </c>
      <c r="G419" s="171" t="s">
        <v>551</v>
      </c>
      <c r="H419" s="288">
        <v>1</v>
      </c>
      <c r="I419" s="172">
        <v>0</v>
      </c>
      <c r="J419" s="172">
        <f>ROUND(I419*H419,2)</f>
        <v>0</v>
      </c>
      <c r="K419" s="173"/>
      <c r="L419" s="174"/>
      <c r="M419" s="205" t="s">
        <v>1</v>
      </c>
      <c r="N419" s="206" t="s">
        <v>33</v>
      </c>
      <c r="O419" s="200">
        <v>0</v>
      </c>
      <c r="P419" s="200">
        <f>O419*H419</f>
        <v>0</v>
      </c>
      <c r="Q419" s="200">
        <v>0</v>
      </c>
      <c r="R419" s="200">
        <f>Q419*H419</f>
        <v>0</v>
      </c>
      <c r="S419" s="200">
        <v>0</v>
      </c>
      <c r="T419" s="201">
        <f>S419*H419</f>
        <v>0</v>
      </c>
      <c r="AR419" s="179" t="s">
        <v>114</v>
      </c>
      <c r="AT419" s="179" t="s">
        <v>105</v>
      </c>
      <c r="AU419" s="179" t="s">
        <v>75</v>
      </c>
      <c r="AY419" s="180" t="s">
        <v>104</v>
      </c>
      <c r="BE419" s="181">
        <f>IF(N419="základní",J419,0)</f>
        <v>0</v>
      </c>
      <c r="BF419" s="181">
        <f>IF(N419="snížená",J419,0)</f>
        <v>0</v>
      </c>
      <c r="BG419" s="181">
        <f>IF(N419="zákl. přenesená",J419,0)</f>
        <v>0</v>
      </c>
      <c r="BH419" s="181">
        <f>IF(N419="sníž. přenesená",J419,0)</f>
        <v>0</v>
      </c>
      <c r="BI419" s="181">
        <f>IF(N419="nulová",J419,0)</f>
        <v>0</v>
      </c>
      <c r="BJ419" s="180" t="s">
        <v>73</v>
      </c>
      <c r="BK419" s="181">
        <f>ROUND(I419*H419,2)</f>
        <v>0</v>
      </c>
      <c r="BL419" s="180" t="s">
        <v>114</v>
      </c>
      <c r="BM419" s="179" t="s">
        <v>552</v>
      </c>
    </row>
    <row r="420" spans="2:47" s="166" customFormat="1" ht="12">
      <c r="B420" s="167"/>
      <c r="C420" s="182"/>
      <c r="D420" s="235" t="s">
        <v>107</v>
      </c>
      <c r="E420" s="182"/>
      <c r="F420" s="184" t="s">
        <v>550</v>
      </c>
      <c r="G420" s="182"/>
      <c r="H420" s="289"/>
      <c r="I420" s="182"/>
      <c r="J420" s="182"/>
      <c r="K420" s="182"/>
      <c r="L420" s="174"/>
      <c r="M420" s="185"/>
      <c r="N420" s="186"/>
      <c r="O420" s="186"/>
      <c r="P420" s="186"/>
      <c r="Q420" s="186"/>
      <c r="R420" s="186"/>
      <c r="S420" s="186"/>
      <c r="T420" s="187"/>
      <c r="AT420" s="180" t="s">
        <v>107</v>
      </c>
      <c r="AU420" s="180" t="s">
        <v>75</v>
      </c>
    </row>
    <row r="421" spans="2:47" s="166" customFormat="1" ht="29.25">
      <c r="B421" s="167"/>
      <c r="C421" s="182"/>
      <c r="D421" s="235" t="s">
        <v>131</v>
      </c>
      <c r="E421" s="182"/>
      <c r="F421" s="270" t="s">
        <v>553</v>
      </c>
      <c r="G421" s="182"/>
      <c r="H421" s="289"/>
      <c r="I421" s="182"/>
      <c r="J421" s="182"/>
      <c r="K421" s="182"/>
      <c r="L421" s="174"/>
      <c r="M421" s="185"/>
      <c r="N421" s="186"/>
      <c r="O421" s="186"/>
      <c r="P421" s="186"/>
      <c r="Q421" s="186"/>
      <c r="R421" s="186"/>
      <c r="S421" s="186"/>
      <c r="T421" s="187"/>
      <c r="AT421" s="180" t="s">
        <v>131</v>
      </c>
      <c r="AU421" s="180" t="s">
        <v>75</v>
      </c>
    </row>
    <row r="422" spans="2:65" s="166" customFormat="1" ht="12">
      <c r="B422" s="167"/>
      <c r="C422" s="168">
        <f>C419+1</f>
        <v>189</v>
      </c>
      <c r="D422" s="168" t="s">
        <v>105</v>
      </c>
      <c r="E422" s="169" t="s">
        <v>554</v>
      </c>
      <c r="F422" s="170" t="s">
        <v>555</v>
      </c>
      <c r="G422" s="171" t="s">
        <v>130</v>
      </c>
      <c r="H422" s="288">
        <v>2</v>
      </c>
      <c r="I422" s="172">
        <v>0</v>
      </c>
      <c r="J422" s="172">
        <f>ROUND(I422*H422,2)</f>
        <v>0</v>
      </c>
      <c r="K422" s="173"/>
      <c r="L422" s="174"/>
      <c r="M422" s="205" t="s">
        <v>1</v>
      </c>
      <c r="N422" s="206" t="s">
        <v>33</v>
      </c>
      <c r="O422" s="200">
        <v>0</v>
      </c>
      <c r="P422" s="200">
        <f>O422*H422</f>
        <v>0</v>
      </c>
      <c r="Q422" s="200">
        <v>0</v>
      </c>
      <c r="R422" s="200">
        <f>Q422*H422</f>
        <v>0</v>
      </c>
      <c r="S422" s="200">
        <v>0</v>
      </c>
      <c r="T422" s="201">
        <f>S422*H422</f>
        <v>0</v>
      </c>
      <c r="AR422" s="179" t="s">
        <v>113</v>
      </c>
      <c r="AT422" s="179" t="s">
        <v>105</v>
      </c>
      <c r="AU422" s="179" t="s">
        <v>75</v>
      </c>
      <c r="AY422" s="180" t="s">
        <v>104</v>
      </c>
      <c r="BE422" s="181">
        <f>IF(N422="základní",J422,0)</f>
        <v>0</v>
      </c>
      <c r="BF422" s="181">
        <f>IF(N422="snížená",J422,0)</f>
        <v>0</v>
      </c>
      <c r="BG422" s="181">
        <f>IF(N422="zákl. přenesená",J422,0)</f>
        <v>0</v>
      </c>
      <c r="BH422" s="181">
        <f>IF(N422="sníž. přenesená",J422,0)</f>
        <v>0</v>
      </c>
      <c r="BI422" s="181">
        <f>IF(N422="nulová",J422,0)</f>
        <v>0</v>
      </c>
      <c r="BJ422" s="180" t="s">
        <v>73</v>
      </c>
      <c r="BK422" s="181">
        <f>ROUND(I422*H422,2)</f>
        <v>0</v>
      </c>
      <c r="BL422" s="180" t="s">
        <v>113</v>
      </c>
      <c r="BM422" s="179" t="s">
        <v>556</v>
      </c>
    </row>
    <row r="423" spans="2:47" s="166" customFormat="1" ht="12">
      <c r="B423" s="167"/>
      <c r="C423" s="182"/>
      <c r="D423" s="235" t="s">
        <v>107</v>
      </c>
      <c r="E423" s="182"/>
      <c r="F423" s="184" t="s">
        <v>557</v>
      </c>
      <c r="G423" s="182"/>
      <c r="H423" s="289"/>
      <c r="I423" s="182"/>
      <c r="J423" s="182"/>
      <c r="K423" s="182"/>
      <c r="L423" s="174"/>
      <c r="M423" s="185"/>
      <c r="N423" s="186"/>
      <c r="O423" s="186"/>
      <c r="P423" s="186"/>
      <c r="Q423" s="186"/>
      <c r="R423" s="186"/>
      <c r="S423" s="186"/>
      <c r="T423" s="187"/>
      <c r="AT423" s="180" t="s">
        <v>107</v>
      </c>
      <c r="AU423" s="180" t="s">
        <v>75</v>
      </c>
    </row>
    <row r="424" spans="2:47" s="166" customFormat="1" ht="19.5">
      <c r="B424" s="167"/>
      <c r="C424" s="182"/>
      <c r="D424" s="235" t="s">
        <v>131</v>
      </c>
      <c r="E424" s="182"/>
      <c r="F424" s="270" t="s">
        <v>558</v>
      </c>
      <c r="G424" s="182"/>
      <c r="H424" s="289"/>
      <c r="I424" s="182"/>
      <c r="J424" s="182"/>
      <c r="K424" s="182"/>
      <c r="L424" s="174"/>
      <c r="M424" s="185"/>
      <c r="N424" s="186"/>
      <c r="O424" s="186"/>
      <c r="P424" s="186"/>
      <c r="Q424" s="186"/>
      <c r="R424" s="186"/>
      <c r="S424" s="186"/>
      <c r="T424" s="187"/>
      <c r="AT424" s="180" t="s">
        <v>131</v>
      </c>
      <c r="AU424" s="180" t="s">
        <v>75</v>
      </c>
    </row>
    <row r="425" spans="2:65" s="166" customFormat="1" ht="12">
      <c r="B425" s="167"/>
      <c r="C425" s="168">
        <f>C422+1</f>
        <v>190</v>
      </c>
      <c r="D425" s="168" t="s">
        <v>105</v>
      </c>
      <c r="E425" s="169" t="s">
        <v>559</v>
      </c>
      <c r="F425" s="170" t="s">
        <v>560</v>
      </c>
      <c r="G425" s="171" t="s">
        <v>130</v>
      </c>
      <c r="H425" s="288">
        <v>1</v>
      </c>
      <c r="I425" s="172">
        <v>0</v>
      </c>
      <c r="J425" s="172">
        <f>ROUND(I425*H425,2)</f>
        <v>0</v>
      </c>
      <c r="K425" s="173"/>
      <c r="L425" s="174"/>
      <c r="M425" s="205" t="s">
        <v>1</v>
      </c>
      <c r="N425" s="206" t="s">
        <v>33</v>
      </c>
      <c r="O425" s="200">
        <v>0</v>
      </c>
      <c r="P425" s="200">
        <f>O425*H425</f>
        <v>0</v>
      </c>
      <c r="Q425" s="200">
        <v>0</v>
      </c>
      <c r="R425" s="200">
        <f>Q425*H425</f>
        <v>0</v>
      </c>
      <c r="S425" s="200">
        <v>0</v>
      </c>
      <c r="T425" s="201">
        <f>S425*H425</f>
        <v>0</v>
      </c>
      <c r="AR425" s="179" t="s">
        <v>114</v>
      </c>
      <c r="AT425" s="179" t="s">
        <v>105</v>
      </c>
      <c r="AU425" s="179" t="s">
        <v>75</v>
      </c>
      <c r="AY425" s="180" t="s">
        <v>104</v>
      </c>
      <c r="BE425" s="181">
        <f>IF(N425="základní",J425,0)</f>
        <v>0</v>
      </c>
      <c r="BF425" s="181">
        <f>IF(N425="snížená",J425,0)</f>
        <v>0</v>
      </c>
      <c r="BG425" s="181">
        <f>IF(N425="zákl. přenesená",J425,0)</f>
        <v>0</v>
      </c>
      <c r="BH425" s="181">
        <f>IF(N425="sníž. přenesená",J425,0)</f>
        <v>0</v>
      </c>
      <c r="BI425" s="181">
        <f>IF(N425="nulová",J425,0)</f>
        <v>0</v>
      </c>
      <c r="BJ425" s="180" t="s">
        <v>73</v>
      </c>
      <c r="BK425" s="181">
        <f>ROUND(I425*H425,2)</f>
        <v>0</v>
      </c>
      <c r="BL425" s="180" t="s">
        <v>114</v>
      </c>
      <c r="BM425" s="179" t="s">
        <v>561</v>
      </c>
    </row>
    <row r="426" spans="2:65" s="166" customFormat="1" ht="12">
      <c r="B426" s="167"/>
      <c r="C426" s="168">
        <f>C425+1</f>
        <v>191</v>
      </c>
      <c r="D426" s="168" t="s">
        <v>105</v>
      </c>
      <c r="E426" s="169" t="s">
        <v>562</v>
      </c>
      <c r="F426" s="170" t="s">
        <v>563</v>
      </c>
      <c r="G426" s="171" t="s">
        <v>564</v>
      </c>
      <c r="H426" s="288">
        <v>30</v>
      </c>
      <c r="I426" s="172">
        <v>0</v>
      </c>
      <c r="J426" s="172">
        <f>ROUND(I426*H426,2)</f>
        <v>0</v>
      </c>
      <c r="K426" s="173"/>
      <c r="L426" s="174"/>
      <c r="M426" s="205" t="s">
        <v>1</v>
      </c>
      <c r="N426" s="206" t="s">
        <v>33</v>
      </c>
      <c r="O426" s="200">
        <v>0</v>
      </c>
      <c r="P426" s="200">
        <f>O426*H426</f>
        <v>0</v>
      </c>
      <c r="Q426" s="200">
        <v>0</v>
      </c>
      <c r="R426" s="200">
        <f>Q426*H426</f>
        <v>0</v>
      </c>
      <c r="S426" s="200">
        <v>0</v>
      </c>
      <c r="T426" s="201">
        <f>S426*H426</f>
        <v>0</v>
      </c>
      <c r="AR426" s="179" t="s">
        <v>114</v>
      </c>
      <c r="AT426" s="179" t="s">
        <v>105</v>
      </c>
      <c r="AU426" s="179" t="s">
        <v>75</v>
      </c>
      <c r="AY426" s="180" t="s">
        <v>104</v>
      </c>
      <c r="BE426" s="181">
        <f>IF(N426="základní",J426,0)</f>
        <v>0</v>
      </c>
      <c r="BF426" s="181">
        <f>IF(N426="snížená",J426,0)</f>
        <v>0</v>
      </c>
      <c r="BG426" s="181">
        <f>IF(N426="zákl. přenesená",J426,0)</f>
        <v>0</v>
      </c>
      <c r="BH426" s="181">
        <f>IF(N426="sníž. přenesená",J426,0)</f>
        <v>0</v>
      </c>
      <c r="BI426" s="181">
        <f>IF(N426="nulová",J426,0)</f>
        <v>0</v>
      </c>
      <c r="BJ426" s="180" t="s">
        <v>73</v>
      </c>
      <c r="BK426" s="181">
        <f>ROUND(I426*H426,2)</f>
        <v>0</v>
      </c>
      <c r="BL426" s="180" t="s">
        <v>114</v>
      </c>
      <c r="BM426" s="179" t="s">
        <v>565</v>
      </c>
    </row>
    <row r="427" spans="2:47" s="166" customFormat="1" ht="12">
      <c r="B427" s="167"/>
      <c r="C427" s="182"/>
      <c r="D427" s="235" t="s">
        <v>107</v>
      </c>
      <c r="E427" s="182"/>
      <c r="F427" s="184" t="s">
        <v>563</v>
      </c>
      <c r="G427" s="182"/>
      <c r="H427" s="289"/>
      <c r="I427" s="182"/>
      <c r="J427" s="182"/>
      <c r="K427" s="182"/>
      <c r="L427" s="174"/>
      <c r="M427" s="185"/>
      <c r="N427" s="186"/>
      <c r="O427" s="186"/>
      <c r="P427" s="186"/>
      <c r="Q427" s="186"/>
      <c r="R427" s="186"/>
      <c r="S427" s="186"/>
      <c r="T427" s="187"/>
      <c r="AT427" s="180" t="s">
        <v>107</v>
      </c>
      <c r="AU427" s="180" t="s">
        <v>75</v>
      </c>
    </row>
    <row r="428" spans="2:47" s="166" customFormat="1" ht="19.5">
      <c r="B428" s="167"/>
      <c r="C428" s="182"/>
      <c r="D428" s="235" t="s">
        <v>131</v>
      </c>
      <c r="E428" s="182"/>
      <c r="F428" s="270" t="s">
        <v>566</v>
      </c>
      <c r="G428" s="182"/>
      <c r="H428" s="289"/>
      <c r="I428" s="182"/>
      <c r="J428" s="182"/>
      <c r="K428" s="182"/>
      <c r="L428" s="174"/>
      <c r="M428" s="185"/>
      <c r="N428" s="186"/>
      <c r="O428" s="186"/>
      <c r="P428" s="186"/>
      <c r="Q428" s="186"/>
      <c r="R428" s="186"/>
      <c r="S428" s="186"/>
      <c r="T428" s="187"/>
      <c r="AT428" s="180" t="s">
        <v>131</v>
      </c>
      <c r="AU428" s="180" t="s">
        <v>75</v>
      </c>
    </row>
    <row r="429" spans="2:63" s="219" customFormat="1" ht="15">
      <c r="B429" s="220"/>
      <c r="C429" s="221"/>
      <c r="D429" s="222" t="s">
        <v>67</v>
      </c>
      <c r="E429" s="223" t="s">
        <v>567</v>
      </c>
      <c r="F429" s="223" t="s">
        <v>127</v>
      </c>
      <c r="G429" s="221"/>
      <c r="H429" s="291"/>
      <c r="I429" s="221"/>
      <c r="J429" s="224">
        <f>BK429</f>
        <v>0</v>
      </c>
      <c r="K429" s="221"/>
      <c r="L429" s="293"/>
      <c r="M429" s="226"/>
      <c r="N429" s="227"/>
      <c r="O429" s="227"/>
      <c r="P429" s="228">
        <f>SUM(P430:P435)</f>
        <v>0</v>
      </c>
      <c r="Q429" s="227"/>
      <c r="R429" s="228">
        <f>SUM(R430:R435)</f>
        <v>0</v>
      </c>
      <c r="S429" s="227"/>
      <c r="T429" s="229">
        <f>SUM(T430:T435)</f>
        <v>0</v>
      </c>
      <c r="V429" s="277"/>
      <c r="AR429" s="230" t="s">
        <v>106</v>
      </c>
      <c r="AT429" s="231" t="s">
        <v>67</v>
      </c>
      <c r="AU429" s="231" t="s">
        <v>68</v>
      </c>
      <c r="AY429" s="230" t="s">
        <v>104</v>
      </c>
      <c r="BK429" s="232">
        <f>SUM(BK430:BK435)</f>
        <v>0</v>
      </c>
    </row>
    <row r="430" spans="2:65" s="166" customFormat="1" ht="24">
      <c r="B430" s="167"/>
      <c r="C430" s="168">
        <f>C426+1</f>
        <v>192</v>
      </c>
      <c r="D430" s="168" t="s">
        <v>105</v>
      </c>
      <c r="E430" s="169" t="s">
        <v>568</v>
      </c>
      <c r="F430" s="170" t="s">
        <v>569</v>
      </c>
      <c r="G430" s="171" t="s">
        <v>108</v>
      </c>
      <c r="H430" s="288">
        <v>1.893</v>
      </c>
      <c r="I430" s="172">
        <v>0</v>
      </c>
      <c r="J430" s="172">
        <f>ROUND(I430*H430,2)</f>
        <v>0</v>
      </c>
      <c r="K430" s="173"/>
      <c r="L430" s="174"/>
      <c r="M430" s="205" t="s">
        <v>1</v>
      </c>
      <c r="N430" s="206" t="s">
        <v>33</v>
      </c>
      <c r="O430" s="200">
        <v>0</v>
      </c>
      <c r="P430" s="200">
        <f>O430*H430</f>
        <v>0</v>
      </c>
      <c r="Q430" s="200">
        <v>0</v>
      </c>
      <c r="R430" s="200">
        <f>Q430*H430</f>
        <v>0</v>
      </c>
      <c r="S430" s="200">
        <v>0</v>
      </c>
      <c r="T430" s="201">
        <f>S430*H430</f>
        <v>0</v>
      </c>
      <c r="AR430" s="179" t="s">
        <v>106</v>
      </c>
      <c r="AT430" s="179" t="s">
        <v>105</v>
      </c>
      <c r="AU430" s="179" t="s">
        <v>73</v>
      </c>
      <c r="AY430" s="180" t="s">
        <v>104</v>
      </c>
      <c r="BE430" s="181">
        <f>IF(N430="základní",J430,0)</f>
        <v>0</v>
      </c>
      <c r="BF430" s="181">
        <f>IF(N430="snížená",J430,0)</f>
        <v>0</v>
      </c>
      <c r="BG430" s="181">
        <f>IF(N430="zákl. přenesená",J430,0)</f>
        <v>0</v>
      </c>
      <c r="BH430" s="181">
        <f>IF(N430="sníž. přenesená",J430,0)</f>
        <v>0</v>
      </c>
      <c r="BI430" s="181">
        <f>IF(N430="nulová",J430,0)</f>
        <v>0</v>
      </c>
      <c r="BJ430" s="180" t="s">
        <v>73</v>
      </c>
      <c r="BK430" s="181">
        <f>ROUND(I430*H430,2)</f>
        <v>0</v>
      </c>
      <c r="BL430" s="180" t="s">
        <v>106</v>
      </c>
      <c r="BM430" s="179" t="s">
        <v>570</v>
      </c>
    </row>
    <row r="431" spans="2:47" s="166" customFormat="1" ht="19.5">
      <c r="B431" s="167"/>
      <c r="C431" s="182"/>
      <c r="D431" s="235" t="s">
        <v>107</v>
      </c>
      <c r="E431" s="182"/>
      <c r="F431" s="184" t="s">
        <v>569</v>
      </c>
      <c r="G431" s="182"/>
      <c r="H431" s="289"/>
      <c r="I431" s="182"/>
      <c r="J431" s="182"/>
      <c r="K431" s="182"/>
      <c r="L431" s="174"/>
      <c r="M431" s="185"/>
      <c r="N431" s="186"/>
      <c r="O431" s="186"/>
      <c r="P431" s="186"/>
      <c r="Q431" s="186"/>
      <c r="R431" s="186"/>
      <c r="S431" s="186"/>
      <c r="T431" s="187"/>
      <c r="AT431" s="180" t="s">
        <v>107</v>
      </c>
      <c r="AU431" s="180" t="s">
        <v>73</v>
      </c>
    </row>
    <row r="432" spans="2:65" s="166" customFormat="1" ht="24">
      <c r="B432" s="167"/>
      <c r="C432" s="168">
        <f>C430+1</f>
        <v>193</v>
      </c>
      <c r="D432" s="168" t="s">
        <v>105</v>
      </c>
      <c r="E432" s="169" t="s">
        <v>571</v>
      </c>
      <c r="F432" s="170" t="s">
        <v>572</v>
      </c>
      <c r="G432" s="171" t="s">
        <v>130</v>
      </c>
      <c r="H432" s="288">
        <v>1</v>
      </c>
      <c r="I432" s="172">
        <v>0</v>
      </c>
      <c r="J432" s="172">
        <f>ROUND(I432*H432,2)</f>
        <v>0</v>
      </c>
      <c r="K432" s="173"/>
      <c r="L432" s="174"/>
      <c r="M432" s="205" t="s">
        <v>1</v>
      </c>
      <c r="N432" s="206" t="s">
        <v>33</v>
      </c>
      <c r="O432" s="200">
        <v>0</v>
      </c>
      <c r="P432" s="200">
        <f>O432*H432</f>
        <v>0</v>
      </c>
      <c r="Q432" s="200">
        <v>0</v>
      </c>
      <c r="R432" s="200">
        <f>Q432*H432</f>
        <v>0</v>
      </c>
      <c r="S432" s="200">
        <v>0</v>
      </c>
      <c r="T432" s="201">
        <f>S432*H432</f>
        <v>0</v>
      </c>
      <c r="AR432" s="179" t="s">
        <v>106</v>
      </c>
      <c r="AT432" s="179" t="s">
        <v>105</v>
      </c>
      <c r="AU432" s="179" t="s">
        <v>73</v>
      </c>
      <c r="AY432" s="180" t="s">
        <v>104</v>
      </c>
      <c r="BE432" s="181">
        <f>IF(N432="základní",J432,0)</f>
        <v>0</v>
      </c>
      <c r="BF432" s="181">
        <f>IF(N432="snížená",J432,0)</f>
        <v>0</v>
      </c>
      <c r="BG432" s="181">
        <f>IF(N432="zákl. přenesená",J432,0)</f>
        <v>0</v>
      </c>
      <c r="BH432" s="181">
        <f>IF(N432="sníž. přenesená",J432,0)</f>
        <v>0</v>
      </c>
      <c r="BI432" s="181">
        <f>IF(N432="nulová",J432,0)</f>
        <v>0</v>
      </c>
      <c r="BJ432" s="180" t="s">
        <v>73</v>
      </c>
      <c r="BK432" s="181">
        <f>ROUND(I432*H432,2)</f>
        <v>0</v>
      </c>
      <c r="BL432" s="180" t="s">
        <v>106</v>
      </c>
      <c r="BM432" s="179" t="s">
        <v>573</v>
      </c>
    </row>
    <row r="433" spans="2:47" s="166" customFormat="1" ht="19.5">
      <c r="B433" s="167"/>
      <c r="C433" s="182"/>
      <c r="D433" s="235" t="s">
        <v>107</v>
      </c>
      <c r="E433" s="182"/>
      <c r="F433" s="184" t="s">
        <v>572</v>
      </c>
      <c r="G433" s="182"/>
      <c r="H433" s="289"/>
      <c r="I433" s="182"/>
      <c r="J433" s="182"/>
      <c r="K433" s="182"/>
      <c r="L433" s="174"/>
      <c r="M433" s="185"/>
      <c r="N433" s="186"/>
      <c r="O433" s="186"/>
      <c r="P433" s="186"/>
      <c r="Q433" s="186"/>
      <c r="R433" s="186"/>
      <c r="S433" s="186"/>
      <c r="T433" s="187"/>
      <c r="AT433" s="180" t="s">
        <v>107</v>
      </c>
      <c r="AU433" s="180" t="s">
        <v>73</v>
      </c>
    </row>
    <row r="434" spans="2:65" s="166" customFormat="1" ht="24">
      <c r="B434" s="167"/>
      <c r="C434" s="168">
        <f>C432+1</f>
        <v>194</v>
      </c>
      <c r="D434" s="168" t="s">
        <v>105</v>
      </c>
      <c r="E434" s="169" t="s">
        <v>574</v>
      </c>
      <c r="F434" s="170" t="s">
        <v>575</v>
      </c>
      <c r="G434" s="171" t="s">
        <v>130</v>
      </c>
      <c r="H434" s="288">
        <v>1</v>
      </c>
      <c r="I434" s="172">
        <v>0</v>
      </c>
      <c r="J434" s="172">
        <f>ROUND(I434*H434,2)</f>
        <v>0</v>
      </c>
      <c r="K434" s="173"/>
      <c r="L434" s="174"/>
      <c r="M434" s="205" t="s">
        <v>1</v>
      </c>
      <c r="N434" s="206" t="s">
        <v>33</v>
      </c>
      <c r="O434" s="200">
        <v>0</v>
      </c>
      <c r="P434" s="200">
        <f>O434*H434</f>
        <v>0</v>
      </c>
      <c r="Q434" s="200">
        <v>0</v>
      </c>
      <c r="R434" s="200">
        <f>Q434*H434</f>
        <v>0</v>
      </c>
      <c r="S434" s="200">
        <v>0</v>
      </c>
      <c r="T434" s="201">
        <f>S434*H434</f>
        <v>0</v>
      </c>
      <c r="AR434" s="179" t="s">
        <v>106</v>
      </c>
      <c r="AT434" s="179" t="s">
        <v>105</v>
      </c>
      <c r="AU434" s="179" t="s">
        <v>73</v>
      </c>
      <c r="AY434" s="180" t="s">
        <v>104</v>
      </c>
      <c r="BE434" s="181">
        <f>IF(N434="základní",J434,0)</f>
        <v>0</v>
      </c>
      <c r="BF434" s="181">
        <f>IF(N434="snížená",J434,0)</f>
        <v>0</v>
      </c>
      <c r="BG434" s="181">
        <f>IF(N434="zákl. přenesená",J434,0)</f>
        <v>0</v>
      </c>
      <c r="BH434" s="181">
        <f>IF(N434="sníž. přenesená",J434,0)</f>
        <v>0</v>
      </c>
      <c r="BI434" s="181">
        <f>IF(N434="nulová",J434,0)</f>
        <v>0</v>
      </c>
      <c r="BJ434" s="180" t="s">
        <v>73</v>
      </c>
      <c r="BK434" s="181">
        <f>ROUND(I434*H434,2)</f>
        <v>0</v>
      </c>
      <c r="BL434" s="180" t="s">
        <v>106</v>
      </c>
      <c r="BM434" s="179" t="s">
        <v>576</v>
      </c>
    </row>
    <row r="435" spans="2:47" s="166" customFormat="1" ht="12">
      <c r="B435" s="167"/>
      <c r="C435" s="182"/>
      <c r="D435" s="235" t="s">
        <v>107</v>
      </c>
      <c r="E435" s="182"/>
      <c r="F435" s="184" t="s">
        <v>575</v>
      </c>
      <c r="G435" s="182"/>
      <c r="H435" s="182"/>
      <c r="I435" s="182"/>
      <c r="J435" s="182"/>
      <c r="K435" s="182"/>
      <c r="L435" s="174"/>
      <c r="M435" s="271"/>
      <c r="N435" s="272"/>
      <c r="O435" s="272"/>
      <c r="P435" s="272"/>
      <c r="Q435" s="272"/>
      <c r="R435" s="272"/>
      <c r="S435" s="272"/>
      <c r="T435" s="273"/>
      <c r="AT435" s="180" t="s">
        <v>107</v>
      </c>
      <c r="AU435" s="180" t="s">
        <v>73</v>
      </c>
    </row>
    <row r="436" spans="2:12" s="166" customFormat="1" ht="12">
      <c r="B436" s="274"/>
      <c r="C436" s="275"/>
      <c r="D436" s="275"/>
      <c r="E436" s="275"/>
      <c r="F436" s="275"/>
      <c r="G436" s="275"/>
      <c r="H436" s="275"/>
      <c r="I436" s="275"/>
      <c r="J436" s="275"/>
      <c r="K436" s="275"/>
      <c r="L436" s="174"/>
    </row>
    <row r="437" s="276" customFormat="1" ht="12"/>
  </sheetData>
  <autoFilter ref="C123:K435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6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DESKTOP-KOZEL\Kozel</dc:creator>
  <cp:keywords/>
  <dc:description/>
  <cp:lastModifiedBy>Dušek Soběslav</cp:lastModifiedBy>
  <cp:lastPrinted>2020-10-07T14:55:23Z</cp:lastPrinted>
  <dcterms:created xsi:type="dcterms:W3CDTF">2019-07-25T10:26:23Z</dcterms:created>
  <dcterms:modified xsi:type="dcterms:W3CDTF">2021-02-10T07:57:07Z</dcterms:modified>
  <cp:category/>
  <cp:version/>
  <cp:contentType/>
  <cp:contentStatus/>
</cp:coreProperties>
</file>