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1"/>
  </bookViews>
  <sheets>
    <sheet name="Rekapitulace stavby" sheetId="1" r:id="rId1"/>
    <sheet name="SO.101 - Chodník" sheetId="2" r:id="rId2"/>
  </sheets>
  <definedNames>
    <definedName name="_xlnm.Print_Titles" localSheetId="1">'SO.101 - Chodník'!$66:$67</definedName>
    <definedName name="_xlnm.Print_Area" localSheetId="0">'Rekapitulace stavby'!$C$3:$AP$57,'Rekapitulace stavby'!$C$64:$AP$80</definedName>
    <definedName name="_xlnm.Print_Area" localSheetId="1">'SO.101 - Chodník'!$C$3:$U$50,'SO.101 - Chodník'!$C$56:$U$254</definedName>
  </definedNames>
  <calcPr fullCalcOnLoad="1"/>
</workbook>
</file>

<file path=xl/sharedStrings.xml><?xml version="1.0" encoding="utf-8"?>
<sst xmlns="http://schemas.openxmlformats.org/spreadsheetml/2006/main" count="564" uniqueCount="262">
  <si>
    <t/>
  </si>
  <si>
    <t>False</t>
  </si>
  <si>
    <t>0,01</t>
  </si>
  <si>
    <t>15</t>
  </si>
  <si>
    <t>SOUHRNNÝ LIST STAVBY</t>
  </si>
  <si>
    <t>0,001</t>
  </si>
  <si>
    <t>Stavba:</t>
  </si>
  <si>
    <t>0,1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</si>
  <si>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</si>
  <si>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</si>
  <si>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</si>
  <si>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</si>
  <si>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</si>
  <si>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</si>
  <si>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</si>
  <si>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</si>
  <si>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</si>
  <si>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</si>
  <si>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</si>
  <si>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</si>
  <si>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</si>
  <si>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</si>
  <si>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</si>
  <si>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</si>
  <si>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</si>
  <si>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</si>
  <si>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</si>
  <si>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</si>
  <si>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</si>
  <si>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</si>
  <si>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</si>
  <si>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</si>
  <si>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</si>
  <si>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</si>
  <si>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</si>
  <si>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</si>
  <si>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</si>
  <si>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</si>
  <si>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</si>
  <si>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</si>
  <si>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</si>
  <si>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</si>
  <si>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</si>
  <si>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</si>
  <si>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</si>
  <si>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</si>
  <si>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{aaac299b-66fe-4a19-9f7b-0dcf5d91e625}</t>
  </si>
  <si>
    <t>{00000000-0000-0000-0000-000000000000}</t>
  </si>
  <si>
    <t>###NOINSERT###</t>
  </si>
  <si>
    <t>2) Ostatní náklady ze souhrnného listu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</si>
  <si>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</si>
  <si>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</si>
  <si>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</si>
  <si>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</si>
  <si>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</si>
  <si>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</si>
  <si>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</si>
  <si>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</si>
  <si>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 xml:space="preserve">    1 - Zemní práce</t>
  </si>
  <si>
    <t xml:space="preserve">    9 - Ostatní konstrukce a práce, bourání</t>
  </si>
  <si>
    <t xml:space="preserve">    997 - Přesun sutě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</si>
  <si>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</si>
  <si>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</si>
  <si>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</si>
  <si>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</si>
  <si>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</si>
  <si>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</si>
  <si>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</si>
  <si>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</si>
  <si>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J. hmotnost
[t]</t>
  </si>
  <si>
    <t>Hmotnost
celkem [t]</t>
  </si>
  <si>
    <t>J. suť [t]</t>
  </si>
  <si>
    <t>K</t>
  </si>
  <si>
    <t>m2</t>
  </si>
  <si>
    <t>m</t>
  </si>
  <si>
    <t>m3</t>
  </si>
  <si>
    <t>t</t>
  </si>
  <si>
    <t>kus</t>
  </si>
  <si>
    <t>ZELEŇ</t>
  </si>
  <si>
    <t xml:space="preserve">    5 - Komunikace pozemní</t>
  </si>
  <si>
    <t>M</t>
  </si>
  <si>
    <t>CHODNÍK</t>
  </si>
  <si>
    <t>osivo směs travní parková</t>
  </si>
  <si>
    <t>kg</t>
  </si>
  <si>
    <t xml:space="preserve">    998 - Přesun hmot</t>
  </si>
  <si>
    <t>ks</t>
  </si>
  <si>
    <t>Materiál</t>
  </si>
  <si>
    <t>dlažba zámková PARKETA přírodní 20x10x6 cm</t>
  </si>
  <si>
    <t>ŠD</t>
  </si>
  <si>
    <t>BETON</t>
  </si>
  <si>
    <t xml:space="preserve">    5 - Komunikace</t>
  </si>
  <si>
    <t>Hmotnost
celkem [t]</t>
  </si>
  <si>
    <t>Suť 
celkem [t]</t>
  </si>
  <si>
    <t xml:space="preserve">    VRN - Vedlejší rozpočtové náklady</t>
  </si>
  <si>
    <t>Zařízení staveniště</t>
  </si>
  <si>
    <t>kpl</t>
  </si>
  <si>
    <t>Geodetické práce - vytyčení inženýrských sítí</t>
  </si>
  <si>
    <t>Geodetické práce - vytyčení stavby</t>
  </si>
  <si>
    <t>Geodetické práce - skutečné zaměření</t>
  </si>
  <si>
    <t xml:space="preserve">DIO - dopravně inženýrské </t>
  </si>
  <si>
    <t>BOZP - lávky, přejezdy, páska a oplocení</t>
  </si>
  <si>
    <t>Hutnící zkouška</t>
  </si>
  <si>
    <t>POZNÁNKA:</t>
  </si>
  <si>
    <t>Část:</t>
  </si>
  <si>
    <t>Poplatek za uložení odpadu ze sypaniny na skládce (skládkovné)</t>
  </si>
  <si>
    <t>113108405R00</t>
  </si>
  <si>
    <t>Odstranění asfaltové vrstvy pl.nad 50 m2, tl. 5 cm</t>
  </si>
  <si>
    <t>113107625R00</t>
  </si>
  <si>
    <t>chodník 1-1</t>
  </si>
  <si>
    <t>chodník 2-2</t>
  </si>
  <si>
    <t>odečet beton</t>
  </si>
  <si>
    <t>asfalt</t>
  </si>
  <si>
    <t>113109410R00</t>
  </si>
  <si>
    <t>Odstranění podkladu pl.nad 50 m2, beton, tl. 10 cm</t>
  </si>
  <si>
    <t>Odstranění podkladu nad 50 m2,kam.drcené tl.25 cm</t>
  </si>
  <si>
    <t>113107620R00</t>
  </si>
  <si>
    <t>Odstranění podkladu nad 50 m2,kam.drcené tl.20 cm</t>
  </si>
  <si>
    <t>113106121R00</t>
  </si>
  <si>
    <t>Rozebrání dlažeb z betonových dlaždic na sucho</t>
  </si>
  <si>
    <t>ŽULA</t>
  </si>
  <si>
    <t>PLOŠNÁ DLAŽBA</t>
  </si>
  <si>
    <t>113106231R00</t>
  </si>
  <si>
    <t>Rozebrání dlažeb ze zámkové dlažby v kamenivu</t>
  </si>
  <si>
    <t>113106221R00</t>
  </si>
  <si>
    <t>113108310R00</t>
  </si>
  <si>
    <t>Odstranění asfaltové vrstvy pl. do 50 m2, tl.10 cm</t>
  </si>
  <si>
    <t>50*0,1</t>
  </si>
  <si>
    <t>chodník 2-2 - ZELEŇ</t>
  </si>
  <si>
    <t>chodník 2-2 - OBRUBNÍK</t>
  </si>
  <si>
    <t>(5*1,5+4,5+4+6,5+3+4)*0,5*0,25</t>
  </si>
  <si>
    <t>113202111R00</t>
  </si>
  <si>
    <t>Vytrhání obrub obrubníků silničních</t>
  </si>
  <si>
    <t>chodník 2-2 - KRAJNÍK ŽULOVÝ</t>
  </si>
  <si>
    <t>113204111R00</t>
  </si>
  <si>
    <t>Vytrhání obrubníků zahradních</t>
  </si>
  <si>
    <t>chodník 2-2 - ZÁHONOVÝ</t>
  </si>
  <si>
    <t>121101101R00</t>
  </si>
  <si>
    <t>Sejmutí ornice s přemístěním do 50 m</t>
  </si>
  <si>
    <t>Poplatek za uložení suti - beton</t>
  </si>
  <si>
    <t>Poplatek za uložení suti - štěrk</t>
  </si>
  <si>
    <t>ZÁMKOVÁ DLAŽBA</t>
  </si>
  <si>
    <t>979054441R00</t>
  </si>
  <si>
    <t>ŽULOVÁ DLAŽBA</t>
  </si>
  <si>
    <t>979071121R00</t>
  </si>
  <si>
    <t>Očištění vybour. dlaždic s výplní kamen. těženým</t>
  </si>
  <si>
    <t>Očištění vybour. kostek drobných s výplní kam. těž</t>
  </si>
  <si>
    <t>979024441R00</t>
  </si>
  <si>
    <t>Očištění vybour. obrubníků všech loží a výplní</t>
  </si>
  <si>
    <t>KRAJNÍK ŽULA</t>
  </si>
  <si>
    <t>919735112R00</t>
  </si>
  <si>
    <t>Řezání stávajícího živičného krytu tl. 5 - 10 cm</t>
  </si>
  <si>
    <t>(3,2+0,4)*2</t>
  </si>
  <si>
    <t>979083513R00</t>
  </si>
  <si>
    <t>Vodorovné přemístění suti do 1 km</t>
  </si>
  <si>
    <t>979083519R00</t>
  </si>
  <si>
    <t>Příplatek za dalších 1000 m</t>
  </si>
  <si>
    <t>979087212R00</t>
  </si>
  <si>
    <t>Nakládání suti na dopravní prostředky</t>
  </si>
  <si>
    <t>998223011R00</t>
  </si>
  <si>
    <t>Přesun hmot, pozemní komunikace, kryt dlážděný</t>
  </si>
  <si>
    <t>Rozebrání dlažeb z drobných kostek v kam. těženém</t>
  </si>
  <si>
    <t>113107530R00</t>
  </si>
  <si>
    <t>Odstranění podkladu pl. 50 m2,kam.drcené tl.30 cm</t>
  </si>
  <si>
    <t>chodník 1-1 - OBRUBNÍK SILNIČNÍ</t>
  </si>
  <si>
    <t>chodník 1-1 - ZÁHONOVÝ</t>
  </si>
  <si>
    <t>16</t>
  </si>
  <si>
    <t>Vytrhání obrub obrubníků silničních - KRAJNÍK ŽULOVÝ</t>
  </si>
  <si>
    <t>122202201R00</t>
  </si>
  <si>
    <t>Odkopávky pro silnice v hor. 3 do 100 m3</t>
  </si>
  <si>
    <t>167101101R00</t>
  </si>
  <si>
    <t>Nakládání výkopku z hor.1-4 v množství do 100 m3</t>
  </si>
  <si>
    <t>chodník 1-1 - OBRUBNÍK</t>
  </si>
  <si>
    <t>chodník 1-1 - ZELEŇ</t>
  </si>
  <si>
    <t>8,25*0,1</t>
  </si>
  <si>
    <t>8,25*0,3</t>
  </si>
  <si>
    <t>50*0,3</t>
  </si>
  <si>
    <t>162701105R00</t>
  </si>
  <si>
    <t>Vodorovné přemístění výkopku z hor.1-4 do 10000 m</t>
  </si>
  <si>
    <t>162701109R00</t>
  </si>
  <si>
    <t>Příplatek k vod. přemístění hor.1-4 za další 1 km</t>
  </si>
  <si>
    <t>171201201R00</t>
  </si>
  <si>
    <t>Uložení sypaniny na skl.-sypanina na výšku přes 2m</t>
  </si>
  <si>
    <t>přepočet 0,02</t>
  </si>
  <si>
    <t>181300010RA0</t>
  </si>
  <si>
    <t>Rozprostření ornice v rovině tloušťka 15 cm</t>
  </si>
  <si>
    <t>180400020RA0</t>
  </si>
  <si>
    <t>Založení trávníku parkového, rovina</t>
  </si>
  <si>
    <t>286,23+6,5+2,0+2,0+1</t>
  </si>
  <si>
    <t>96,23+0,85+1,25</t>
  </si>
  <si>
    <t>181101111R00</t>
  </si>
  <si>
    <t>Úprava pláně v zářezech se zhutněním - ručně</t>
  </si>
  <si>
    <t>171201101R00</t>
  </si>
  <si>
    <t>Uložení sypaniny do násypů nebo na skládku s rozprostřením sypaniny ve vrstvách a s hrubým urovnáním</t>
  </si>
  <si>
    <t>916661111R00</t>
  </si>
  <si>
    <t>Osazení park. obrubníků do lože z C 12/15 s opěrou</t>
  </si>
  <si>
    <t>16*1,05</t>
  </si>
  <si>
    <t>obrubník betonový parkový/chodníkový 100x80x25 cm</t>
  </si>
  <si>
    <t>chodník 2-2 - OBRUBNÍK SILNIČNÍ</t>
  </si>
  <si>
    <t>obrubník betonový silniční nájezdový 100x150x150 cm</t>
  </si>
  <si>
    <t>2,1+4,0</t>
  </si>
  <si>
    <t>(2,1+4,0)*1,05</t>
  </si>
  <si>
    <t>(4,5+4,0+3,5+3,0+4,0)*1,05</t>
  </si>
  <si>
    <t>136,6-(4,5+4,0+3,5+3,0+4,0)</t>
  </si>
  <si>
    <t>136,6-(5*1,5+4,5+4+3,5+3+4)</t>
  </si>
  <si>
    <t>4,5+4,0+3,5+3,0+4,0</t>
  </si>
  <si>
    <t>917161111R00</t>
  </si>
  <si>
    <t>Osazení lež. obrub.kamen. s opěrou, lože z C 12/15</t>
  </si>
  <si>
    <t>16*0,1</t>
  </si>
  <si>
    <t>(136,6-(4,5+4,0+3,5+3,0+4,0))*0,1</t>
  </si>
  <si>
    <t>(2,1+4,0)*0,1</t>
  </si>
  <si>
    <t>(4,5+4,0+3,5+3,0+4,0)*0,1</t>
  </si>
  <si>
    <t>918101111R00</t>
  </si>
  <si>
    <t>Lože pod obrubníky nebo obruby dlažeb z C 12/15</t>
  </si>
  <si>
    <t>899331111R00</t>
  </si>
  <si>
    <t>Výšková úprava vstupu do 20 cm, zvýšení poklopu</t>
  </si>
  <si>
    <t>899431111R00</t>
  </si>
  <si>
    <t>Výšková úprava do 20 cm, zvýšení krytu šoupěte</t>
  </si>
  <si>
    <t>919726213R00</t>
  </si>
  <si>
    <t>Těsnění spár asfaltového krytu zálivkou za tepla</t>
  </si>
  <si>
    <t>(4,0+2,1)*0,5*0,25</t>
  </si>
  <si>
    <t>86,86*1,025</t>
  </si>
  <si>
    <t>224,66*1,025</t>
  </si>
  <si>
    <t>SJEZD</t>
  </si>
  <si>
    <t>7,13*1,05</t>
  </si>
  <si>
    <t>47,24*1,05</t>
  </si>
  <si>
    <t>dlažba zámková PARKETA antracit 20x10x8 cm</t>
  </si>
  <si>
    <t>BEZBARIÉROVOST</t>
  </si>
  <si>
    <t>dlažba zámková PARKETA červená 20x10x8 cm</t>
  </si>
  <si>
    <t>3,08*1,05</t>
  </si>
  <si>
    <t>13,80*1,05</t>
  </si>
  <si>
    <t>596215021R00</t>
  </si>
  <si>
    <t>Kladení zámkové dlažby tl. 6 cm do drtě tl. 4 cm</t>
  </si>
  <si>
    <t>596215041R00</t>
  </si>
  <si>
    <t>Kladení zámkové dlažby tl. 8 cm do drtě tl. 5 cm</t>
  </si>
  <si>
    <t>7,13+3,08</t>
  </si>
  <si>
    <t>47,24+13,80</t>
  </si>
  <si>
    <t>564861111R00</t>
  </si>
  <si>
    <t>Podklad ze štěrkodrti po zhutnění tloušťky 20 cm</t>
  </si>
  <si>
    <t>86,86+0,85</t>
  </si>
  <si>
    <t>224,66+2,0</t>
  </si>
  <si>
    <t>596841111R00</t>
  </si>
  <si>
    <t>Kladení dlažby z dlaždic kom.pro pěší do lože z ŠD</t>
  </si>
  <si>
    <t>591211111R00</t>
  </si>
  <si>
    <t>Kladení dlažby drobné kostky,lože z kamen.tl. 5 cm</t>
  </si>
  <si>
    <t>577141112R00</t>
  </si>
  <si>
    <t>Beton asfalt. ACO 11+,nebo ACO 16+,do 3 m, tl.5 cm</t>
  </si>
  <si>
    <t>573111112R00</t>
  </si>
  <si>
    <t>Postřik živičný infiltr.+ posyp,z asfaltu 1 kg/m2</t>
  </si>
  <si>
    <t>573211111R00</t>
  </si>
  <si>
    <t>Postřik živičný spojovací z asfaltu 0,5-0,7 kg/m2</t>
  </si>
  <si>
    <t>564113505R00</t>
  </si>
  <si>
    <t>Podklad z asf.recyklátu fr. 0-32 po zhutn.tl.5 cm</t>
  </si>
  <si>
    <t>564871111R00</t>
  </si>
  <si>
    <t>Podklad ze štěrkodrti po zhutnění tloušťky 25 cm</t>
  </si>
  <si>
    <t>Poplatek za uložení suti - asfalt</t>
  </si>
  <si>
    <t>Oprava povrchu části chodníku ulice Pardubická, Chrudim</t>
  </si>
  <si>
    <t>(136,6-(4,5+4+6,5+3+4))*1,05</t>
  </si>
  <si>
    <t>2,7*0,1</t>
  </si>
  <si>
    <t>2,7</t>
  </si>
  <si>
    <t>(3,2+0,4)</t>
  </si>
  <si>
    <t>917862111R00</t>
  </si>
  <si>
    <t>Osazení stojat. obrub. bet.s opěry,lože z C12/15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</si>
</sst>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  <numFmt numFmtId="178" formatCode="#,##0&quot; mm&quot;"/>
    <numFmt numFmtId="179" formatCode="#,##0&quot; Kč/m2&quot;"/>
  </numFmts>
  <fonts count="9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b/>
      <sz val="8"/>
      <name val="Trebuchet MS"/>
      <family val="2"/>
    </font>
    <font>
      <sz val="5"/>
      <name val="Trebuchet MS"/>
      <family val="2"/>
    </font>
    <font>
      <b/>
      <sz val="5"/>
      <name val="Trebuchet MS"/>
      <family val="2"/>
    </font>
    <font>
      <sz val="8"/>
      <name val="Calibri"/>
      <family val="2"/>
    </font>
    <font>
      <b/>
      <u val="single"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0"/>
      <color indexed="5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b/>
      <sz val="8"/>
      <color indexed="56"/>
      <name val="Trebuchet MS"/>
      <family val="2"/>
    </font>
    <font>
      <b/>
      <sz val="10"/>
      <color indexed="56"/>
      <name val="Trebuchet MS"/>
      <family val="2"/>
    </font>
    <font>
      <b/>
      <i/>
      <sz val="8"/>
      <color indexed="12"/>
      <name val="Trebuchet MS"/>
      <family val="2"/>
    </font>
    <font>
      <sz val="8"/>
      <color indexed="16"/>
      <name val="Trebuchet MS"/>
      <family val="2"/>
    </font>
    <font>
      <sz val="5"/>
      <color indexed="55"/>
      <name val="Trebuchet MS"/>
      <family val="2"/>
    </font>
    <font>
      <b/>
      <sz val="12"/>
      <color indexed="12"/>
      <name val="Trebuchet MS"/>
      <family val="2"/>
    </font>
    <font>
      <b/>
      <sz val="5"/>
      <color indexed="56"/>
      <name val="Trebuchet MS"/>
      <family val="2"/>
    </font>
    <font>
      <b/>
      <i/>
      <sz val="7"/>
      <color indexed="12"/>
      <name val="Trebuchet MS"/>
      <family val="2"/>
    </font>
    <font>
      <b/>
      <sz val="8"/>
      <color indexed="55"/>
      <name val="Trebuchet MS"/>
      <family val="2"/>
    </font>
    <font>
      <sz val="10"/>
      <color indexed="48"/>
      <name val="Trebuchet MS"/>
      <family val="2"/>
    </font>
    <font>
      <sz val="8"/>
      <color indexed="4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0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003366"/>
      <name val="Trebuchet MS"/>
      <family val="2"/>
    </font>
    <font>
      <b/>
      <sz val="10"/>
      <color rgb="FF003366"/>
      <name val="Trebuchet MS"/>
      <family val="2"/>
    </font>
    <font>
      <b/>
      <i/>
      <sz val="8"/>
      <color rgb="FF0000FF"/>
      <name val="Trebuchet MS"/>
      <family val="2"/>
    </font>
    <font>
      <sz val="8"/>
      <color rgb="FF960000"/>
      <name val="Trebuchet MS"/>
      <family val="2"/>
    </font>
    <font>
      <b/>
      <sz val="8"/>
      <color rgb="FF0000FF"/>
      <name val="Trebuchet MS"/>
      <family val="2"/>
    </font>
    <font>
      <sz val="5"/>
      <color rgb="FF969696"/>
      <name val="Trebuchet MS"/>
      <family val="2"/>
    </font>
    <font>
      <b/>
      <sz val="12"/>
      <color rgb="FF0000FF"/>
      <name val="Trebuchet MS"/>
      <family val="2"/>
    </font>
    <font>
      <b/>
      <sz val="5"/>
      <color rgb="FF003366"/>
      <name val="Trebuchet MS"/>
      <family val="2"/>
    </font>
    <font>
      <b/>
      <i/>
      <sz val="7"/>
      <color rgb="FF0000FF"/>
      <name val="Trebuchet MS"/>
      <family val="2"/>
    </font>
    <font>
      <b/>
      <sz val="8"/>
      <color rgb="FF969696"/>
      <name val="Trebuchet MS"/>
      <family val="2"/>
    </font>
    <font>
      <sz val="10"/>
      <color rgb="FF3366FF"/>
      <name val="Trebuchet MS"/>
      <family val="2"/>
    </font>
    <font>
      <sz val="8"/>
      <color rgb="FF3366FF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9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2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173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57" fillId="22" borderId="6" applyNumberFormat="0" applyFont="0" applyAlignment="0" applyProtection="0"/>
    <xf numFmtId="9" fontId="57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85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6" fillId="0" borderId="11" xfId="0" applyFont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80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1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81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2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0" fontId="77" fillId="0" borderId="10" xfId="0" applyFont="1" applyBorder="1" applyAlignment="1">
      <alignment vertical="center"/>
    </xf>
    <xf numFmtId="176" fontId="76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76" fillId="0" borderId="28" xfId="0" applyNumberFormat="1" applyFont="1" applyBorder="1" applyAlignment="1">
      <alignment vertical="center"/>
    </xf>
    <xf numFmtId="177" fontId="76" fillId="0" borderId="0" xfId="0" applyNumberFormat="1" applyFont="1" applyAlignment="1">
      <alignment vertical="center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7" fontId="76" fillId="0" borderId="0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14" fillId="35" borderId="3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left"/>
    </xf>
    <xf numFmtId="0" fontId="85" fillId="0" borderId="0" xfId="0" applyFont="1" applyAlignment="1">
      <alignment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5" fillId="0" borderId="27" xfId="0" applyFont="1" applyBorder="1" applyAlignment="1">
      <alignment/>
    </xf>
    <xf numFmtId="0" fontId="85" fillId="0" borderId="28" xfId="0" applyFont="1" applyBorder="1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76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27" xfId="0" applyFont="1" applyBorder="1" applyAlignment="1" applyProtection="1">
      <alignment vertical="center"/>
      <protection locked="0"/>
    </xf>
    <xf numFmtId="0" fontId="85" fillId="0" borderId="0" xfId="0" applyFont="1" applyBorder="1" applyAlignment="1">
      <alignment/>
    </xf>
    <xf numFmtId="0" fontId="14" fillId="0" borderId="28" xfId="0" applyFont="1" applyBorder="1" applyAlignment="1">
      <alignment vertical="center"/>
    </xf>
    <xf numFmtId="174" fontId="76" fillId="0" borderId="0" xfId="0" applyNumberFormat="1" applyFont="1" applyBorder="1" applyAlignment="1">
      <alignment vertical="center"/>
    </xf>
    <xf numFmtId="4" fontId="4" fillId="0" borderId="33" xfId="0" applyNumberFormat="1" applyFont="1" applyBorder="1" applyAlignment="1" applyProtection="1">
      <alignment vertical="center"/>
      <protection locked="0"/>
    </xf>
    <xf numFmtId="4" fontId="4" fillId="0" borderId="31" xfId="0" applyNumberFormat="1" applyFont="1" applyBorder="1" applyAlignment="1" applyProtection="1">
      <alignment vertical="center"/>
      <protection locked="0"/>
    </xf>
    <xf numFmtId="4" fontId="4" fillId="0" borderId="30" xfId="0" applyNumberFormat="1" applyFont="1" applyBorder="1" applyAlignment="1" applyProtection="1">
      <alignment vertical="center"/>
      <protection locked="0"/>
    </xf>
    <xf numFmtId="4" fontId="4" fillId="0" borderId="32" xfId="0" applyNumberFormat="1" applyFont="1" applyBorder="1" applyAlignment="1" applyProtection="1">
      <alignment vertical="center"/>
      <protection locked="0"/>
    </xf>
    <xf numFmtId="0" fontId="85" fillId="0" borderId="0" xfId="0" applyFont="1" applyAlignment="1">
      <alignment/>
    </xf>
    <xf numFmtId="0" fontId="87" fillId="0" borderId="33" xfId="0" applyFont="1" applyBorder="1" applyAlignment="1" applyProtection="1">
      <alignment horizontal="center" vertical="center"/>
      <protection locked="0"/>
    </xf>
    <xf numFmtId="0" fontId="87" fillId="0" borderId="33" xfId="0" applyFont="1" applyBorder="1" applyAlignment="1" applyProtection="1">
      <alignment horizontal="center" vertical="center" wrapText="1"/>
      <protection locked="0"/>
    </xf>
    <xf numFmtId="4" fontId="87" fillId="35" borderId="33" xfId="0" applyNumberFormat="1" applyFont="1" applyFill="1" applyBorder="1" applyAlignment="1" applyProtection="1">
      <alignment vertical="center"/>
      <protection locked="0"/>
    </xf>
    <xf numFmtId="176" fontId="87" fillId="0" borderId="33" xfId="0" applyNumberFormat="1" applyFont="1" applyBorder="1" applyAlignment="1">
      <alignment vertical="center"/>
    </xf>
    <xf numFmtId="0" fontId="5" fillId="35" borderId="33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177" fontId="88" fillId="0" borderId="0" xfId="0" applyNumberFormat="1" applyFont="1" applyBorder="1" applyAlignment="1">
      <alignment/>
    </xf>
    <xf numFmtId="177" fontId="85" fillId="0" borderId="0" xfId="0" applyNumberFormat="1" applyFont="1" applyBorder="1" applyAlignment="1">
      <alignment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85" fillId="0" borderId="0" xfId="0" applyNumberFormat="1" applyFont="1" applyBorder="1" applyAlignment="1">
      <alignment/>
    </xf>
    <xf numFmtId="177" fontId="87" fillId="0" borderId="33" xfId="0" applyNumberFormat="1" applyFont="1" applyBorder="1" applyAlignment="1">
      <alignment vertical="center"/>
    </xf>
    <xf numFmtId="177" fontId="85" fillId="0" borderId="34" xfId="0" applyNumberFormat="1" applyFont="1" applyBorder="1" applyAlignment="1">
      <alignment/>
    </xf>
    <xf numFmtId="177" fontId="4" fillId="0" borderId="33" xfId="0" applyNumberFormat="1" applyFont="1" applyFill="1" applyBorder="1" applyAlignment="1">
      <alignment vertical="center"/>
    </xf>
    <xf numFmtId="177" fontId="85" fillId="0" borderId="34" xfId="0" applyNumberFormat="1" applyFont="1" applyBorder="1" applyAlignment="1">
      <alignment/>
    </xf>
    <xf numFmtId="177" fontId="85" fillId="0" borderId="35" xfId="0" applyNumberFormat="1" applyFont="1" applyBorder="1" applyAlignment="1">
      <alignment/>
    </xf>
    <xf numFmtId="0" fontId="85" fillId="0" borderId="27" xfId="0" applyFont="1" applyBorder="1" applyAlignment="1">
      <alignment/>
    </xf>
    <xf numFmtId="0" fontId="85" fillId="0" borderId="28" xfId="0" applyFont="1" applyBorder="1" applyAlignment="1">
      <alignment/>
    </xf>
    <xf numFmtId="0" fontId="11" fillId="35" borderId="33" xfId="0" applyFont="1" applyFill="1" applyBorder="1" applyAlignment="1">
      <alignment horizontal="center" vertical="center" wrapText="1"/>
    </xf>
    <xf numFmtId="4" fontId="89" fillId="0" borderId="33" xfId="0" applyNumberFormat="1" applyFont="1" applyBorder="1" applyAlignment="1">
      <alignment horizontal="center" vertical="center"/>
    </xf>
    <xf numFmtId="0" fontId="87" fillId="0" borderId="33" xfId="0" applyFont="1" applyFill="1" applyBorder="1" applyAlignment="1" applyProtection="1">
      <alignment horizontal="center" vertical="center"/>
      <protection locked="0"/>
    </xf>
    <xf numFmtId="49" fontId="87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87" fillId="0" borderId="33" xfId="0" applyFont="1" applyFill="1" applyBorder="1" applyAlignment="1" applyProtection="1">
      <alignment horizontal="center" vertical="center" wrapText="1"/>
      <protection locked="0"/>
    </xf>
    <xf numFmtId="176" fontId="87" fillId="0" borderId="33" xfId="0" applyNumberFormat="1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76" fontId="4" fillId="0" borderId="30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176" fontId="4" fillId="0" borderId="31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7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176" fontId="4" fillId="0" borderId="33" xfId="0" applyNumberFormat="1" applyFont="1" applyFill="1" applyBorder="1" applyAlignment="1">
      <alignment vertical="center"/>
    </xf>
    <xf numFmtId="177" fontId="4" fillId="13" borderId="33" xfId="0" applyNumberFormat="1" applyFont="1" applyFill="1" applyBorder="1" applyAlignment="1">
      <alignment horizontal="center" vertical="center"/>
    </xf>
    <xf numFmtId="177" fontId="4" fillId="13" borderId="30" xfId="0" applyNumberFormat="1" applyFont="1" applyFill="1" applyBorder="1" applyAlignment="1">
      <alignment horizontal="center" vertical="center"/>
    </xf>
    <xf numFmtId="177" fontId="4" fillId="36" borderId="31" xfId="0" applyNumberFormat="1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77" fontId="82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84" fillId="0" borderId="0" xfId="0" applyNumberFormat="1" applyFont="1" applyBorder="1" applyAlignment="1">
      <alignment vertical="center"/>
    </xf>
    <xf numFmtId="0" fontId="4" fillId="35" borderId="40" xfId="0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77" fillId="0" borderId="42" xfId="0" applyFont="1" applyBorder="1" applyAlignment="1">
      <alignment vertical="center"/>
    </xf>
    <xf numFmtId="0" fontId="77" fillId="0" borderId="42" xfId="0" applyFont="1" applyBorder="1" applyAlignment="1">
      <alignment horizontal="left" vertical="center"/>
    </xf>
    <xf numFmtId="3" fontId="77" fillId="0" borderId="42" xfId="0" applyNumberFormat="1" applyFont="1" applyBorder="1" applyAlignment="1">
      <alignment vertical="center"/>
    </xf>
    <xf numFmtId="177" fontId="77" fillId="0" borderId="42" xfId="0" applyNumberFormat="1" applyFont="1" applyBorder="1" applyAlignment="1">
      <alignment vertical="center"/>
    </xf>
    <xf numFmtId="0" fontId="77" fillId="0" borderId="43" xfId="0" applyFont="1" applyBorder="1" applyAlignment="1">
      <alignment vertical="center"/>
    </xf>
    <xf numFmtId="0" fontId="77" fillId="0" borderId="43" xfId="0" applyFont="1" applyBorder="1" applyAlignment="1">
      <alignment horizontal="left" vertical="center"/>
    </xf>
    <xf numFmtId="3" fontId="77" fillId="0" borderId="43" xfId="0" applyNumberFormat="1" applyFont="1" applyBorder="1" applyAlignment="1">
      <alignment vertical="center"/>
    </xf>
    <xf numFmtId="177" fontId="77" fillId="0" borderId="43" xfId="0" applyNumberFormat="1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77" fillId="0" borderId="11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3" fontId="77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82" fillId="0" borderId="11" xfId="0" applyNumberFormat="1" applyFont="1" applyFill="1" applyBorder="1" applyAlignment="1">
      <alignment vertical="center"/>
    </xf>
    <xf numFmtId="0" fontId="82" fillId="36" borderId="45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3" fontId="4" fillId="36" borderId="40" xfId="0" applyNumberFormat="1" applyFont="1" applyFill="1" applyBorder="1" applyAlignment="1">
      <alignment vertical="center"/>
    </xf>
    <xf numFmtId="177" fontId="82" fillId="36" borderId="40" xfId="0" applyNumberFormat="1" applyFont="1" applyFill="1" applyBorder="1" applyAlignment="1">
      <alignment vertical="center"/>
    </xf>
    <xf numFmtId="177" fontId="82" fillId="36" borderId="41" xfId="0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9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7" xfId="0" applyFont="1" applyBorder="1" applyAlignment="1">
      <alignment vertical="center"/>
    </xf>
    <xf numFmtId="0" fontId="15" fillId="0" borderId="44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34" borderId="46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vertical="center"/>
    </xf>
    <xf numFmtId="0" fontId="6" fillId="34" borderId="47" xfId="0" applyFont="1" applyFill="1" applyBorder="1" applyAlignment="1">
      <alignment horizontal="right" vertical="center"/>
    </xf>
    <xf numFmtId="3" fontId="15" fillId="0" borderId="17" xfId="0" applyNumberFormat="1" applyFont="1" applyBorder="1" applyAlignment="1">
      <alignment vertical="center"/>
    </xf>
    <xf numFmtId="3" fontId="6" fillId="34" borderId="47" xfId="0" applyNumberFormat="1" applyFont="1" applyFill="1" applyBorder="1" applyAlignment="1">
      <alignment horizontal="center" vertical="center"/>
    </xf>
    <xf numFmtId="3" fontId="4" fillId="34" borderId="47" xfId="0" applyNumberFormat="1" applyFont="1" applyFill="1" applyBorder="1" applyAlignment="1">
      <alignment vertical="center"/>
    </xf>
    <xf numFmtId="0" fontId="4" fillId="36" borderId="47" xfId="0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3" fontId="4" fillId="33" borderId="15" xfId="0" applyNumberFormat="1" applyFont="1" applyFill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3" fontId="76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0" xfId="0" applyNumberFormat="1" applyFont="1" applyFill="1" applyAlignment="1" applyProtection="1">
      <alignment horizontal="right" vertical="center"/>
      <protection locked="0"/>
    </xf>
    <xf numFmtId="0" fontId="86" fillId="0" borderId="0" xfId="0" applyFont="1" applyFill="1" applyBorder="1" applyAlignment="1">
      <alignment horizontal="left"/>
    </xf>
    <xf numFmtId="3" fontId="77" fillId="0" borderId="43" xfId="0" applyNumberFormat="1" applyFont="1" applyBorder="1" applyAlignment="1">
      <alignment vertical="center"/>
    </xf>
    <xf numFmtId="0" fontId="86" fillId="0" borderId="0" xfId="0" applyFont="1" applyAlignment="1">
      <alignment horizontal="left"/>
    </xf>
    <xf numFmtId="177" fontId="85" fillId="0" borderId="0" xfId="0" applyNumberFormat="1" applyFont="1" applyAlignment="1">
      <alignment/>
    </xf>
    <xf numFmtId="0" fontId="15" fillId="0" borderId="27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vertical="center"/>
      <protection locked="0"/>
    </xf>
    <xf numFmtId="3" fontId="15" fillId="0" borderId="35" xfId="0" applyNumberFormat="1" applyFont="1" applyBorder="1" applyAlignment="1" applyProtection="1">
      <alignment vertical="center"/>
      <protection locked="0"/>
    </xf>
    <xf numFmtId="176" fontId="15" fillId="0" borderId="35" xfId="0" applyNumberFormat="1" applyFont="1" applyBorder="1" applyAlignment="1">
      <alignment vertical="center"/>
    </xf>
    <xf numFmtId="177" fontId="15" fillId="0" borderId="35" xfId="0" applyNumberFormat="1" applyFont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92" fillId="0" borderId="0" xfId="0" applyFont="1" applyAlignment="1">
      <alignment/>
    </xf>
    <xf numFmtId="0" fontId="15" fillId="0" borderId="48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178" fontId="4" fillId="0" borderId="30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3" fontId="76" fillId="0" borderId="0" xfId="0" applyNumberFormat="1" applyFont="1" applyBorder="1" applyAlignment="1">
      <alignment vertical="center"/>
    </xf>
    <xf numFmtId="3" fontId="76" fillId="0" borderId="0" xfId="0" applyNumberFormat="1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3" fontId="82" fillId="0" borderId="0" xfId="0" applyNumberFormat="1" applyFont="1" applyBorder="1" applyAlignment="1">
      <alignment vertical="center"/>
    </xf>
    <xf numFmtId="4" fontId="4" fillId="0" borderId="30" xfId="0" applyNumberFormat="1" applyFont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3" fillId="0" borderId="29" xfId="0" applyNumberFormat="1" applyFont="1" applyBorder="1" applyAlignment="1" applyProtection="1">
      <alignment horizontal="right" vertical="center"/>
      <protection locked="0"/>
    </xf>
    <xf numFmtId="4" fontId="4" fillId="0" borderId="31" xfId="0" applyNumberFormat="1" applyFont="1" applyBorder="1" applyAlignment="1" applyProtection="1">
      <alignment horizontal="right" vertical="center"/>
      <protection locked="0"/>
    </xf>
    <xf numFmtId="0" fontId="86" fillId="0" borderId="0" xfId="0" applyFont="1" applyFill="1" applyAlignment="1">
      <alignment horizontal="left"/>
    </xf>
    <xf numFmtId="49" fontId="12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 wrapText="1"/>
      <protection locked="0"/>
    </xf>
    <xf numFmtId="3" fontId="76" fillId="0" borderId="0" xfId="0" applyNumberFormat="1" applyFont="1" applyAlignment="1">
      <alignment vertical="center"/>
    </xf>
    <xf numFmtId="176" fontId="76" fillId="0" borderId="0" xfId="0" applyNumberFormat="1" applyFont="1" applyAlignment="1">
      <alignment vertical="center"/>
    </xf>
    <xf numFmtId="3" fontId="76" fillId="0" borderId="0" xfId="0" applyNumberFormat="1" applyFont="1" applyBorder="1" applyAlignment="1">
      <alignment vertical="center"/>
    </xf>
    <xf numFmtId="3" fontId="76" fillId="0" borderId="0" xfId="0" applyNumberFormat="1" applyFont="1" applyBorder="1" applyAlignment="1">
      <alignment vertical="center"/>
    </xf>
    <xf numFmtId="177" fontId="4" fillId="37" borderId="30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 applyAlignment="1">
      <alignment horizontal="center" vertical="center"/>
    </xf>
    <xf numFmtId="177" fontId="4" fillId="13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177" fontId="4" fillId="36" borderId="33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4" fontId="12" fillId="0" borderId="0" xfId="0" applyNumberFormat="1" applyFont="1" applyFill="1" applyAlignment="1" applyProtection="1">
      <alignment vertical="center"/>
      <protection locked="0"/>
    </xf>
    <xf numFmtId="4" fontId="12" fillId="0" borderId="0" xfId="0" applyNumberFormat="1" applyFont="1" applyFill="1" applyAlignment="1" applyProtection="1">
      <alignment horizontal="right" vertical="center"/>
      <protection locked="0"/>
    </xf>
    <xf numFmtId="49" fontId="8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93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29" xfId="0" applyNumberFormat="1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4" fontId="15" fillId="0" borderId="39" xfId="0" applyNumberFormat="1" applyFont="1" applyBorder="1" applyAlignment="1">
      <alignment/>
    </xf>
    <xf numFmtId="4" fontId="15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horizontal="right" vertical="center"/>
    </xf>
    <xf numFmtId="4" fontId="15" fillId="0" borderId="17" xfId="0" applyNumberFormat="1" applyFont="1" applyBorder="1" applyAlignment="1">
      <alignment vertical="center"/>
    </xf>
    <xf numFmtId="4" fontId="4" fillId="34" borderId="47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78" fillId="0" borderId="0" xfId="0" applyNumberFormat="1" applyFont="1" applyBorder="1" applyAlignment="1">
      <alignment horizontal="left" vertical="center"/>
    </xf>
    <xf numFmtId="4" fontId="4" fillId="35" borderId="40" xfId="0" applyNumberFormat="1" applyFont="1" applyFill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4" fillId="36" borderId="40" xfId="0" applyNumberFormat="1" applyFont="1" applyFill="1" applyBorder="1" applyAlignment="1">
      <alignment vertical="center"/>
    </xf>
    <xf numFmtId="4" fontId="15" fillId="0" borderId="2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/>
    </xf>
    <xf numFmtId="4" fontId="5" fillId="35" borderId="33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86" fillId="0" borderId="0" xfId="0" applyNumberFormat="1" applyFont="1" applyBorder="1" applyAlignment="1">
      <alignment horizontal="left"/>
    </xf>
    <xf numFmtId="4" fontId="4" fillId="0" borderId="30" xfId="0" applyNumberFormat="1" applyFont="1" applyFill="1" applyBorder="1" applyAlignment="1" applyProtection="1">
      <alignment vertical="center"/>
      <protection locked="0"/>
    </xf>
    <xf numFmtId="4" fontId="4" fillId="0" borderId="31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Alignment="1" applyProtection="1">
      <alignment horizontal="right" vertical="center"/>
      <protection locked="0"/>
    </xf>
    <xf numFmtId="4" fontId="13" fillId="0" borderId="29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Fill="1" applyBorder="1" applyAlignment="1" applyProtection="1">
      <alignment vertical="center"/>
      <protection locked="0"/>
    </xf>
    <xf numFmtId="4" fontId="13" fillId="0" borderId="29" xfId="0" applyNumberFormat="1" applyFont="1" applyBorder="1" applyAlignment="1" applyProtection="1">
      <alignment vertical="center"/>
      <protection locked="0"/>
    </xf>
    <xf numFmtId="4" fontId="87" fillId="0" borderId="33" xfId="0" applyNumberFormat="1" applyFont="1" applyBorder="1" applyAlignment="1" applyProtection="1">
      <alignment vertical="center"/>
      <protection locked="0"/>
    </xf>
    <xf numFmtId="4" fontId="87" fillId="0" borderId="33" xfId="0" applyNumberFormat="1" applyFont="1" applyFill="1" applyBorder="1" applyAlignment="1" applyProtection="1">
      <alignment vertical="center"/>
      <protection locked="0"/>
    </xf>
    <xf numFmtId="4" fontId="4" fillId="0" borderId="32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4" fontId="86" fillId="0" borderId="0" xfId="0" applyNumberFormat="1" applyFont="1" applyAlignment="1">
      <alignment horizontal="left"/>
    </xf>
    <xf numFmtId="4" fontId="4" fillId="0" borderId="30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15" fillId="0" borderId="3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6" fillId="0" borderId="30" xfId="0" applyFont="1" applyBorder="1" applyAlignment="1">
      <alignment horizontal="left"/>
    </xf>
    <xf numFmtId="0" fontId="85" fillId="0" borderId="32" xfId="0" applyFont="1" applyBorder="1" applyAlignment="1">
      <alignment/>
    </xf>
    <xf numFmtId="4" fontId="87" fillId="35" borderId="32" xfId="0" applyNumberFormat="1" applyFont="1" applyFill="1" applyBorder="1" applyAlignment="1" applyProtection="1">
      <alignment vertical="center"/>
      <protection locked="0"/>
    </xf>
    <xf numFmtId="0" fontId="86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 vertical="center"/>
    </xf>
    <xf numFmtId="4" fontId="87" fillId="35" borderId="30" xfId="0" applyNumberFormat="1" applyFont="1" applyFill="1" applyBorder="1" applyAlignment="1" applyProtection="1">
      <alignment vertical="center"/>
      <protection locked="0"/>
    </xf>
    <xf numFmtId="4" fontId="87" fillId="35" borderId="31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3" fontId="83" fillId="0" borderId="0" xfId="0" applyNumberFormat="1" applyFont="1" applyBorder="1" applyAlignment="1">
      <alignment vertical="center"/>
    </xf>
    <xf numFmtId="3" fontId="83" fillId="0" borderId="0" xfId="0" applyNumberFormat="1" applyFont="1" applyBorder="1" applyAlignment="1">
      <alignment horizontal="right" vertical="center"/>
    </xf>
    <xf numFmtId="3" fontId="94" fillId="0" borderId="0" xfId="0" applyNumberFormat="1" applyFont="1" applyBorder="1" applyAlignment="1">
      <alignment vertical="center"/>
    </xf>
    <xf numFmtId="3" fontId="76" fillId="0" borderId="0" xfId="0" applyNumberFormat="1" applyFont="1" applyBorder="1" applyAlignment="1">
      <alignment vertical="center"/>
    </xf>
    <xf numFmtId="17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3" fontId="82" fillId="34" borderId="0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50" xfId="0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horizontal="left" vertical="center"/>
    </xf>
    <xf numFmtId="3" fontId="4" fillId="33" borderId="15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/>
    </xf>
    <xf numFmtId="3" fontId="8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82" fillId="0" borderId="0" xfId="0" applyNumberFormat="1" applyFont="1" applyBorder="1" applyAlignment="1">
      <alignment horizontal="right" vertical="center"/>
    </xf>
    <xf numFmtId="175" fontId="5" fillId="0" borderId="0" xfId="0" applyNumberFormat="1" applyFont="1" applyBorder="1" applyAlignment="1">
      <alignment horizontal="center" vertical="center"/>
    </xf>
    <xf numFmtId="3" fontId="6" fillId="33" borderId="15" xfId="0" applyNumberFormat="1" applyFont="1" applyFill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179" fontId="91" fillId="0" borderId="0" xfId="0" applyNumberFormat="1" applyFont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4" fontId="4" fillId="36" borderId="3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4" fontId="4" fillId="36" borderId="33" xfId="0" applyNumberFormat="1" applyFont="1" applyFill="1" applyBorder="1" applyAlignment="1" applyProtection="1">
      <alignment vertical="center"/>
      <protection locked="0"/>
    </xf>
    <xf numFmtId="0" fontId="4" fillId="36" borderId="33" xfId="0" applyFont="1" applyFill="1" applyBorder="1" applyAlignment="1" applyProtection="1">
      <alignment vertical="center"/>
      <protection locked="0"/>
    </xf>
    <xf numFmtId="3" fontId="4" fillId="0" borderId="33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78" fontId="14" fillId="35" borderId="30" xfId="0" applyNumberFormat="1" applyFont="1" applyFill="1" applyBorder="1" applyAlignment="1">
      <alignment horizontal="center" vertical="center" textRotation="90"/>
    </xf>
    <xf numFmtId="178" fontId="14" fillId="35" borderId="31" xfId="0" applyNumberFormat="1" applyFont="1" applyFill="1" applyBorder="1" applyAlignment="1">
      <alignment horizontal="center" vertical="center" textRotation="9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4" fontId="4" fillId="36" borderId="31" xfId="0" applyNumberFormat="1" applyFont="1" applyFill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4" fontId="4" fillId="36" borderId="30" xfId="0" applyNumberFormat="1" applyFont="1" applyFill="1" applyBorder="1" applyAlignment="1" applyProtection="1">
      <alignment vertical="center"/>
      <protection locked="0"/>
    </xf>
    <xf numFmtId="0" fontId="4" fillId="36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3" fontId="4" fillId="0" borderId="31" xfId="0" applyNumberFormat="1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3" fontId="4" fillId="0" borderId="30" xfId="0" applyNumberFormat="1" applyFont="1" applyBorder="1" applyAlignment="1" applyProtection="1">
      <alignment vertical="center"/>
      <protection locked="0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77" fillId="0" borderId="4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86" fillId="0" borderId="17" xfId="0" applyNumberFormat="1" applyFont="1" applyBorder="1" applyAlignment="1">
      <alignment/>
    </xf>
    <xf numFmtId="3" fontId="86" fillId="0" borderId="17" xfId="0" applyNumberFormat="1" applyFont="1" applyBorder="1" applyAlignment="1">
      <alignment vertical="center"/>
    </xf>
    <xf numFmtId="3" fontId="82" fillId="36" borderId="4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3" fontId="77" fillId="0" borderId="42" xfId="0" applyNumberFormat="1" applyFont="1" applyBorder="1" applyAlignment="1">
      <alignment vertical="center"/>
    </xf>
    <xf numFmtId="175" fontId="5" fillId="0" borderId="0" xfId="0" applyNumberFormat="1" applyFont="1" applyBorder="1" applyAlignment="1">
      <alignment horizontal="left" vertical="center"/>
    </xf>
    <xf numFmtId="3" fontId="84" fillId="0" borderId="0" xfId="0" applyNumberFormat="1" applyFont="1" applyBorder="1" applyAlignment="1">
      <alignment vertical="center"/>
    </xf>
    <xf numFmtId="3" fontId="6" fillId="34" borderId="47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3" fontId="4" fillId="34" borderId="51" xfId="0" applyNumberFormat="1" applyFont="1" applyFill="1" applyBorder="1" applyAlignment="1">
      <alignment vertical="center"/>
    </xf>
    <xf numFmtId="0" fontId="5" fillId="35" borderId="3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vertical="center" wrapText="1"/>
    </xf>
    <xf numFmtId="3" fontId="86" fillId="0" borderId="34" xfId="0" applyNumberFormat="1" applyFont="1" applyBorder="1" applyAlignment="1">
      <alignment/>
    </xf>
    <xf numFmtId="3" fontId="86" fillId="0" borderId="34" xfId="0" applyNumberFormat="1" applyFont="1" applyBorder="1" applyAlignment="1">
      <alignment vertical="center"/>
    </xf>
    <xf numFmtId="0" fontId="87" fillId="0" borderId="33" xfId="0" applyFont="1" applyFill="1" applyBorder="1" applyAlignment="1" applyProtection="1">
      <alignment horizontal="left" vertical="center" wrapText="1"/>
      <protection locked="0"/>
    </xf>
    <xf numFmtId="0" fontId="87" fillId="0" borderId="33" xfId="0" applyFont="1" applyFill="1" applyBorder="1" applyAlignment="1" applyProtection="1">
      <alignment vertical="center"/>
      <protection locked="0"/>
    </xf>
    <xf numFmtId="4" fontId="87" fillId="36" borderId="33" xfId="0" applyNumberFormat="1" applyFont="1" applyFill="1" applyBorder="1" applyAlignment="1" applyProtection="1">
      <alignment vertical="center"/>
      <protection locked="0"/>
    </xf>
    <xf numFmtId="0" fontId="87" fillId="36" borderId="33" xfId="0" applyFont="1" applyFill="1" applyBorder="1" applyAlignment="1" applyProtection="1">
      <alignment vertical="center"/>
      <protection locked="0"/>
    </xf>
    <xf numFmtId="3" fontId="87" fillId="0" borderId="33" xfId="0" applyNumberFormat="1" applyFont="1" applyFill="1" applyBorder="1" applyAlignment="1" applyProtection="1">
      <alignment vertical="center"/>
      <protection locked="0"/>
    </xf>
    <xf numFmtId="3" fontId="8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86" fillId="0" borderId="0" xfId="0" applyNumberFormat="1" applyFont="1" applyBorder="1" applyAlignment="1">
      <alignment/>
    </xf>
    <xf numFmtId="3" fontId="86" fillId="0" borderId="0" xfId="0" applyNumberFormat="1" applyFont="1" applyBorder="1" applyAlignment="1">
      <alignment vertical="center"/>
    </xf>
    <xf numFmtId="178" fontId="14" fillId="35" borderId="52" xfId="0" applyNumberFormat="1" applyFont="1" applyFill="1" applyBorder="1" applyAlignment="1">
      <alignment horizontal="center" vertical="center" textRotation="90"/>
    </xf>
    <xf numFmtId="178" fontId="14" fillId="35" borderId="53" xfId="0" applyNumberFormat="1" applyFont="1" applyFill="1" applyBorder="1" applyAlignment="1">
      <alignment horizontal="center" vertical="center" textRotation="90"/>
    </xf>
    <xf numFmtId="178" fontId="14" fillId="35" borderId="54" xfId="0" applyNumberFormat="1" applyFont="1" applyFill="1" applyBorder="1" applyAlignment="1">
      <alignment horizontal="center" vertical="center" textRotation="90"/>
    </xf>
    <xf numFmtId="3" fontId="87" fillId="0" borderId="33" xfId="0" applyNumberFormat="1" applyFont="1" applyBorder="1" applyAlignment="1" applyProtection="1">
      <alignment vertical="center"/>
      <protection locked="0"/>
    </xf>
    <xf numFmtId="3" fontId="86" fillId="0" borderId="0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vertical="center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4" fontId="4" fillId="36" borderId="45" xfId="0" applyNumberFormat="1" applyFont="1" applyFill="1" applyBorder="1" applyAlignment="1" applyProtection="1">
      <alignment vertical="center"/>
      <protection locked="0"/>
    </xf>
    <xf numFmtId="4" fontId="4" fillId="36" borderId="41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Border="1" applyAlignment="1" applyProtection="1">
      <alignment vertical="center"/>
      <protection locked="0"/>
    </xf>
    <xf numFmtId="3" fontId="4" fillId="0" borderId="40" xfId="0" applyNumberFormat="1" applyFont="1" applyBorder="1" applyAlignment="1" applyProtection="1">
      <alignment vertical="center"/>
      <protection locked="0"/>
    </xf>
    <xf numFmtId="3" fontId="4" fillId="0" borderId="41" xfId="0" applyNumberFormat="1" applyFont="1" applyBorder="1" applyAlignment="1" applyProtection="1">
      <alignment vertical="center"/>
      <protection locked="0"/>
    </xf>
    <xf numFmtId="0" fontId="87" fillId="0" borderId="45" xfId="0" applyFont="1" applyFill="1" applyBorder="1" applyAlignment="1" applyProtection="1">
      <alignment horizontal="left" vertical="center" wrapText="1"/>
      <protection locked="0"/>
    </xf>
    <xf numFmtId="0" fontId="87" fillId="0" borderId="40" xfId="0" applyFont="1" applyFill="1" applyBorder="1" applyAlignment="1" applyProtection="1">
      <alignment horizontal="left" vertical="center" wrapText="1"/>
      <protection locked="0"/>
    </xf>
    <xf numFmtId="0" fontId="87" fillId="0" borderId="41" xfId="0" applyFont="1" applyFill="1" applyBorder="1" applyAlignment="1" applyProtection="1">
      <alignment horizontal="left" vertical="center" wrapText="1"/>
      <protection locked="0"/>
    </xf>
    <xf numFmtId="4" fontId="87" fillId="36" borderId="45" xfId="0" applyNumberFormat="1" applyFont="1" applyFill="1" applyBorder="1" applyAlignment="1" applyProtection="1">
      <alignment vertical="center"/>
      <protection locked="0"/>
    </xf>
    <xf numFmtId="4" fontId="87" fillId="36" borderId="41" xfId="0" applyNumberFormat="1" applyFont="1" applyFill="1" applyBorder="1" applyAlignment="1" applyProtection="1">
      <alignment vertical="center"/>
      <protection locked="0"/>
    </xf>
    <xf numFmtId="3" fontId="87" fillId="0" borderId="45" xfId="0" applyNumberFormat="1" applyFont="1" applyBorder="1" applyAlignment="1" applyProtection="1">
      <alignment vertical="center"/>
      <protection locked="0"/>
    </xf>
    <xf numFmtId="3" fontId="87" fillId="0" borderId="40" xfId="0" applyNumberFormat="1" applyFont="1" applyBorder="1" applyAlignment="1" applyProtection="1">
      <alignment vertical="center"/>
      <protection locked="0"/>
    </xf>
    <xf numFmtId="3" fontId="87" fillId="0" borderId="41" xfId="0" applyNumberFormat="1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81"/>
  <sheetViews>
    <sheetView showGridLines="0" zoomScalePageLayoutView="0" workbookViewId="0" topLeftCell="A1">
      <selection activeCell="AN7" sqref="AN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6.00390625" style="0" customWidth="1"/>
    <col min="45" max="56" width="9.28125" style="0" customWidth="1"/>
    <col min="57" max="75" width="0" style="0" hidden="1" customWidth="1"/>
  </cols>
  <sheetData>
    <row r="1" spans="3:58" s="229" customFormat="1" ht="15">
      <c r="C1" s="373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BE1" s="230"/>
      <c r="BF1" s="230"/>
    </row>
    <row r="2" spans="2:58" s="210" customFormat="1" ht="7.5"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4"/>
      <c r="BE2" s="232" t="s">
        <v>2</v>
      </c>
      <c r="BF2" s="232" t="s">
        <v>3</v>
      </c>
    </row>
    <row r="3" spans="2:57" ht="21">
      <c r="B3" s="8"/>
      <c r="C3" s="375" t="s">
        <v>4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10"/>
      <c r="BE3" s="7" t="s">
        <v>5</v>
      </c>
    </row>
    <row r="4" spans="2:57" s="210" customFormat="1" ht="7.5">
      <c r="B4" s="208"/>
      <c r="C4" s="209"/>
      <c r="D4" s="231"/>
      <c r="E4" s="209"/>
      <c r="F4" s="209"/>
      <c r="G4" s="209"/>
      <c r="H4" s="209"/>
      <c r="I4" s="209"/>
      <c r="J4" s="209"/>
      <c r="K4" s="377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209"/>
      <c r="AQ4" s="215"/>
      <c r="BE4" s="232"/>
    </row>
    <row r="5" spans="2:57" ht="18">
      <c r="B5" s="8"/>
      <c r="C5" s="9"/>
      <c r="D5" s="12" t="s">
        <v>6</v>
      </c>
      <c r="E5" s="9"/>
      <c r="F5" s="9"/>
      <c r="G5" s="9"/>
      <c r="H5" s="9"/>
      <c r="I5" s="9"/>
      <c r="J5" s="9"/>
      <c r="K5" s="379" t="s">
        <v>255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9"/>
      <c r="AQ5" s="10"/>
      <c r="BE5" s="7" t="s">
        <v>7</v>
      </c>
    </row>
    <row r="6" spans="2:57" ht="15">
      <c r="B6" s="8"/>
      <c r="C6" s="9"/>
      <c r="D6" s="13" t="s">
        <v>9</v>
      </c>
      <c r="E6" s="9"/>
      <c r="F6" s="9"/>
      <c r="G6" s="9"/>
      <c r="H6" s="9"/>
      <c r="I6" s="9"/>
      <c r="J6" s="9"/>
      <c r="K6" s="11" t="s">
        <v>10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 t="s">
        <v>11</v>
      </c>
      <c r="AL6" s="9"/>
      <c r="AM6" s="9"/>
      <c r="AN6" s="238">
        <v>44590</v>
      </c>
      <c r="AO6" s="9"/>
      <c r="AP6" s="9"/>
      <c r="AQ6" s="10"/>
      <c r="BE6" s="7" t="s">
        <v>12</v>
      </c>
    </row>
    <row r="7" spans="2:57" s="210" customFormat="1" ht="7.5"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15"/>
      <c r="BE7" s="232" t="s">
        <v>13</v>
      </c>
    </row>
    <row r="8" spans="2:57" ht="15">
      <c r="B8" s="8"/>
      <c r="C8" s="9"/>
      <c r="D8" s="13" t="s">
        <v>14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3" t="s">
        <v>15</v>
      </c>
      <c r="AF8" s="9"/>
      <c r="AG8" s="9"/>
      <c r="AH8" s="9"/>
      <c r="AI8" s="9"/>
      <c r="AJ8" s="9"/>
      <c r="AK8" s="13" t="s">
        <v>16</v>
      </c>
      <c r="AL8" s="9"/>
      <c r="AM8" s="9"/>
      <c r="AN8" s="11" t="s">
        <v>0</v>
      </c>
      <c r="AO8" s="9"/>
      <c r="AP8" s="9"/>
      <c r="AQ8" s="10"/>
      <c r="BE8" s="7" t="s">
        <v>7</v>
      </c>
    </row>
    <row r="9" spans="2:57" ht="15">
      <c r="B9" s="8"/>
      <c r="C9" s="9"/>
      <c r="D9" s="13" t="s">
        <v>17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3" t="s">
        <v>15</v>
      </c>
      <c r="AF9" s="9"/>
      <c r="AG9" s="9"/>
      <c r="AH9" s="9"/>
      <c r="AI9" s="9"/>
      <c r="AJ9" s="9"/>
      <c r="AK9" s="13" t="s">
        <v>16</v>
      </c>
      <c r="AL9" s="9"/>
      <c r="AM9" s="9"/>
      <c r="AN9" s="11" t="s">
        <v>0</v>
      </c>
      <c r="AO9" s="9"/>
      <c r="AP9" s="9"/>
      <c r="AQ9" s="10"/>
      <c r="BE9" s="7" t="s">
        <v>7</v>
      </c>
    </row>
    <row r="10" spans="2:57" ht="15">
      <c r="B10" s="8"/>
      <c r="C10" s="9"/>
      <c r="D10" s="13" t="s">
        <v>18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3" t="s">
        <v>15</v>
      </c>
      <c r="AF10" s="9"/>
      <c r="AG10" s="9"/>
      <c r="AH10" s="9"/>
      <c r="AI10" s="9"/>
      <c r="AJ10" s="9"/>
      <c r="AK10" s="13" t="s">
        <v>16</v>
      </c>
      <c r="AL10" s="9"/>
      <c r="AM10" s="9"/>
      <c r="AN10" s="11" t="s">
        <v>0</v>
      </c>
      <c r="AO10" s="9"/>
      <c r="AP10" s="9"/>
      <c r="AQ10" s="10"/>
      <c r="BE10" s="7" t="s">
        <v>1</v>
      </c>
    </row>
    <row r="11" spans="2:57" ht="15">
      <c r="B11" s="8"/>
      <c r="C11" s="9"/>
      <c r="D11" s="13" t="s">
        <v>19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3" t="s">
        <v>15</v>
      </c>
      <c r="AF11" s="9"/>
      <c r="AG11" s="9"/>
      <c r="AH11" s="9"/>
      <c r="AI11" s="9"/>
      <c r="AJ11" s="9"/>
      <c r="AK11" s="13" t="s">
        <v>16</v>
      </c>
      <c r="AL11" s="9"/>
      <c r="AM11" s="9"/>
      <c r="AN11" s="11" t="s">
        <v>0</v>
      </c>
      <c r="AO11" s="9"/>
      <c r="AP11" s="9"/>
      <c r="AQ11" s="10"/>
      <c r="BE11" s="7" t="s">
        <v>2</v>
      </c>
    </row>
    <row r="12" spans="2:43" s="210" customFormat="1" ht="7.5">
      <c r="B12" s="208"/>
      <c r="C12" s="209"/>
      <c r="D12" s="209"/>
      <c r="E12" s="207" t="s">
        <v>10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6"/>
      <c r="AL12" s="209"/>
      <c r="AM12" s="209"/>
      <c r="AN12" s="207" t="s">
        <v>0</v>
      </c>
      <c r="AO12" s="209"/>
      <c r="AP12" s="209"/>
      <c r="AQ12" s="215"/>
    </row>
    <row r="13" spans="2:43" ht="15">
      <c r="B13" s="8"/>
      <c r="C13" s="9"/>
      <c r="D13" s="13" t="s">
        <v>20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10"/>
    </row>
    <row r="14" spans="2:43" s="210" customFormat="1" ht="7.5">
      <c r="B14" s="208"/>
      <c r="C14" s="209"/>
      <c r="D14" s="209"/>
      <c r="E14" s="380" t="s">
        <v>0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209"/>
      <c r="AP14" s="209"/>
      <c r="AQ14" s="215"/>
    </row>
    <row r="15" spans="2:43" ht="13.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</row>
    <row r="16" spans="2:43" ht="13.5">
      <c r="B16" s="8"/>
      <c r="C16" s="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9"/>
      <c r="AQ16" s="10"/>
    </row>
    <row r="17" spans="2:43" ht="15">
      <c r="B17" s="8"/>
      <c r="C17" s="9"/>
      <c r="D17" s="15" t="s">
        <v>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355">
        <f>ROUND(AI75,2)</f>
        <v>0</v>
      </c>
      <c r="AL17" s="356"/>
      <c r="AM17" s="356"/>
      <c r="AN17" s="356"/>
      <c r="AO17" s="356"/>
      <c r="AP17" s="9"/>
      <c r="AQ17" s="10"/>
    </row>
    <row r="18" spans="2:43" ht="15">
      <c r="B18" s="8"/>
      <c r="C18" s="9"/>
      <c r="D18" s="15" t="s">
        <v>22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355">
        <f>ROUND(AI78,2)</f>
        <v>0</v>
      </c>
      <c r="AL18" s="356"/>
      <c r="AM18" s="356"/>
      <c r="AN18" s="356"/>
      <c r="AO18" s="356"/>
      <c r="AP18" s="9"/>
      <c r="AQ18" s="10"/>
    </row>
    <row r="19" spans="2:43" s="1" customFormat="1" ht="13.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7"/>
      <c r="AQ19" s="18"/>
    </row>
    <row r="20" spans="2:43" s="1" customFormat="1" ht="15">
      <c r="B20" s="16"/>
      <c r="C20" s="17"/>
      <c r="D20" s="19" t="s">
        <v>23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357">
        <f>ROUND(AK17+AK18,2)</f>
        <v>0</v>
      </c>
      <c r="AL20" s="358"/>
      <c r="AM20" s="358"/>
      <c r="AN20" s="358"/>
      <c r="AO20" s="358"/>
      <c r="AP20" s="17"/>
      <c r="AQ20" s="18"/>
    </row>
    <row r="21" spans="2:43" s="1" customFormat="1" ht="13.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7"/>
      <c r="AQ21" s="18"/>
    </row>
    <row r="22" spans="2:43" s="2" customFormat="1" ht="13.5">
      <c r="B22" s="21"/>
      <c r="C22" s="22"/>
      <c r="D22" s="23" t="s">
        <v>24</v>
      </c>
      <c r="E22" s="22"/>
      <c r="F22" s="23" t="s">
        <v>25</v>
      </c>
      <c r="G22" s="22"/>
      <c r="H22" s="22"/>
      <c r="I22" s="22"/>
      <c r="J22" s="22"/>
      <c r="K22" s="22"/>
      <c r="L22" s="365">
        <v>0.21</v>
      </c>
      <c r="M22" s="366"/>
      <c r="N22" s="366"/>
      <c r="O22" s="366"/>
      <c r="P22" s="22"/>
      <c r="Q22" s="22"/>
      <c r="R22" s="22"/>
      <c r="S22" s="22"/>
      <c r="T22" s="24" t="s">
        <v>26</v>
      </c>
      <c r="U22" s="22"/>
      <c r="V22" s="22"/>
      <c r="W22" s="363">
        <f>AK20</f>
        <v>0</v>
      </c>
      <c r="X22" s="364"/>
      <c r="Y22" s="364"/>
      <c r="Z22" s="364"/>
      <c r="AA22" s="364"/>
      <c r="AB22" s="364"/>
      <c r="AC22" s="364"/>
      <c r="AD22" s="364"/>
      <c r="AE22" s="364"/>
      <c r="AF22" s="98"/>
      <c r="AG22" s="98"/>
      <c r="AH22" s="98"/>
      <c r="AI22" s="98"/>
      <c r="AJ22" s="98"/>
      <c r="AK22" s="363">
        <f>W22*L22</f>
        <v>0</v>
      </c>
      <c r="AL22" s="364"/>
      <c r="AM22" s="364"/>
      <c r="AN22" s="364"/>
      <c r="AO22" s="364"/>
      <c r="AP22" s="22"/>
      <c r="AQ22" s="25"/>
    </row>
    <row r="23" spans="2:43" s="2" customFormat="1" ht="13.5">
      <c r="B23" s="21"/>
      <c r="C23" s="22"/>
      <c r="D23" s="22"/>
      <c r="E23" s="22"/>
      <c r="F23" s="23" t="s">
        <v>27</v>
      </c>
      <c r="G23" s="22"/>
      <c r="H23" s="22"/>
      <c r="I23" s="22"/>
      <c r="J23" s="22"/>
      <c r="K23" s="22"/>
      <c r="L23" s="365">
        <v>0.15</v>
      </c>
      <c r="M23" s="366"/>
      <c r="N23" s="366"/>
      <c r="O23" s="366"/>
      <c r="P23" s="22"/>
      <c r="Q23" s="22"/>
      <c r="R23" s="22"/>
      <c r="S23" s="22"/>
      <c r="T23" s="24" t="s">
        <v>26</v>
      </c>
      <c r="U23" s="22"/>
      <c r="V23" s="22"/>
      <c r="W23" s="363"/>
      <c r="X23" s="364"/>
      <c r="Y23" s="364"/>
      <c r="Z23" s="364"/>
      <c r="AA23" s="364"/>
      <c r="AB23" s="364"/>
      <c r="AC23" s="364"/>
      <c r="AD23" s="364"/>
      <c r="AE23" s="364"/>
      <c r="AF23" s="98"/>
      <c r="AG23" s="98"/>
      <c r="AH23" s="98"/>
      <c r="AI23" s="98"/>
      <c r="AJ23" s="98"/>
      <c r="AK23" s="363"/>
      <c r="AL23" s="364"/>
      <c r="AM23" s="364"/>
      <c r="AN23" s="364"/>
      <c r="AO23" s="364"/>
      <c r="AP23" s="22"/>
      <c r="AQ23" s="25"/>
    </row>
    <row r="24" spans="2:43" s="1" customFormat="1" ht="13.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7"/>
      <c r="AQ24" s="18"/>
    </row>
    <row r="25" spans="2:43" s="1" customFormat="1" ht="18">
      <c r="B25" s="16"/>
      <c r="C25" s="216"/>
      <c r="D25" s="26" t="s">
        <v>28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 t="s">
        <v>29</v>
      </c>
      <c r="U25" s="27"/>
      <c r="V25" s="27"/>
      <c r="W25" s="235"/>
      <c r="X25" s="371" t="s">
        <v>30</v>
      </c>
      <c r="Y25" s="372"/>
      <c r="Z25" s="372"/>
      <c r="AA25" s="372"/>
      <c r="AB25" s="372"/>
      <c r="AC25" s="235"/>
      <c r="AD25" s="235"/>
      <c r="AE25" s="235"/>
      <c r="AF25" s="235"/>
      <c r="AG25" s="235"/>
      <c r="AH25" s="235"/>
      <c r="AI25" s="235"/>
      <c r="AJ25" s="235"/>
      <c r="AK25" s="390">
        <f>SUM(AK20:AK23)</f>
        <v>0</v>
      </c>
      <c r="AL25" s="372"/>
      <c r="AM25" s="372"/>
      <c r="AN25" s="372"/>
      <c r="AO25" s="391"/>
      <c r="AP25" s="216"/>
      <c r="AQ25" s="18"/>
    </row>
    <row r="26" spans="2:43" s="1" customFormat="1" ht="13.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8"/>
    </row>
    <row r="27" spans="2:43" ht="13.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10"/>
    </row>
    <row r="28" spans="2:43" ht="13.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10"/>
    </row>
    <row r="29" spans="2:43" ht="13.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10"/>
    </row>
    <row r="30" spans="2:43" ht="13.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10"/>
    </row>
    <row r="31" spans="2:43" ht="13.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0"/>
    </row>
    <row r="32" spans="2:43" ht="13.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0"/>
    </row>
    <row r="33" spans="2:43" ht="13.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0"/>
    </row>
    <row r="34" spans="2:43" ht="13.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10"/>
    </row>
    <row r="35" spans="2:43" ht="13.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10"/>
    </row>
    <row r="36" spans="2:43" ht="13.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0"/>
    </row>
    <row r="37" spans="2:43" s="1" customFormat="1" ht="15">
      <c r="B37" s="16"/>
      <c r="C37" s="17"/>
      <c r="D37" s="29" t="s">
        <v>31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A37" s="17"/>
      <c r="AB37" s="17"/>
      <c r="AC37" s="29" t="s">
        <v>32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1"/>
      <c r="AP37" s="17"/>
      <c r="AQ37" s="18"/>
    </row>
    <row r="38" spans="2:43" ht="13.5">
      <c r="B38" s="8"/>
      <c r="C38" s="9"/>
      <c r="D38" s="3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33"/>
      <c r="AA38" s="9"/>
      <c r="AB38" s="9"/>
      <c r="AC38" s="32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3"/>
      <c r="AP38" s="9"/>
      <c r="AQ38" s="10"/>
    </row>
    <row r="39" spans="2:43" ht="13.5">
      <c r="B39" s="8"/>
      <c r="C39" s="9"/>
      <c r="D39" s="3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33"/>
      <c r="AA39" s="9"/>
      <c r="AB39" s="9"/>
      <c r="AC39" s="32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3"/>
      <c r="AP39" s="9"/>
      <c r="AQ39" s="10"/>
    </row>
    <row r="40" spans="2:43" ht="13.5">
      <c r="B40" s="8"/>
      <c r="C40" s="9"/>
      <c r="D40" s="3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33"/>
      <c r="AA40" s="9"/>
      <c r="AB40" s="9"/>
      <c r="AC40" s="32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3"/>
      <c r="AP40" s="9"/>
      <c r="AQ40" s="10"/>
    </row>
    <row r="41" spans="2:43" ht="13.5">
      <c r="B41" s="8"/>
      <c r="C41" s="9"/>
      <c r="D41" s="3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33"/>
      <c r="AA41" s="9"/>
      <c r="AB41" s="9"/>
      <c r="AC41" s="32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3"/>
      <c r="AP41" s="9"/>
      <c r="AQ41" s="10"/>
    </row>
    <row r="42" spans="2:43" ht="13.5">
      <c r="B42" s="8"/>
      <c r="C42" s="9"/>
      <c r="D42" s="3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33"/>
      <c r="AA42" s="9"/>
      <c r="AB42" s="9"/>
      <c r="AC42" s="32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3"/>
      <c r="AP42" s="9"/>
      <c r="AQ42" s="10"/>
    </row>
    <row r="43" spans="2:43" ht="13.5">
      <c r="B43" s="8"/>
      <c r="C43" s="9"/>
      <c r="D43" s="3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33"/>
      <c r="AA43" s="9"/>
      <c r="AB43" s="9"/>
      <c r="AC43" s="32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3"/>
      <c r="AP43" s="9"/>
      <c r="AQ43" s="10"/>
    </row>
    <row r="44" spans="2:43" ht="13.5">
      <c r="B44" s="8"/>
      <c r="C44" s="9"/>
      <c r="D44" s="3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3"/>
      <c r="AA44" s="9"/>
      <c r="AB44" s="9"/>
      <c r="AC44" s="32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3"/>
      <c r="AP44" s="9"/>
      <c r="AQ44" s="10"/>
    </row>
    <row r="45" spans="2:43" ht="13.5">
      <c r="B45" s="8"/>
      <c r="C45" s="9"/>
      <c r="D45" s="3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33"/>
      <c r="AA45" s="9"/>
      <c r="AB45" s="9"/>
      <c r="AC45" s="32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3"/>
      <c r="AP45" s="9"/>
      <c r="AQ45" s="10"/>
    </row>
    <row r="46" spans="2:43" s="1" customFormat="1" ht="15">
      <c r="B46" s="16"/>
      <c r="C46" s="17"/>
      <c r="D46" s="34" t="s">
        <v>33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 t="s">
        <v>34</v>
      </c>
      <c r="S46" s="35"/>
      <c r="T46" s="35"/>
      <c r="U46" s="35"/>
      <c r="V46" s="35"/>
      <c r="W46" s="35"/>
      <c r="X46" s="35"/>
      <c r="Y46" s="35"/>
      <c r="Z46" s="37"/>
      <c r="AA46" s="17"/>
      <c r="AB46" s="17"/>
      <c r="AC46" s="34" t="s">
        <v>33</v>
      </c>
      <c r="AD46" s="35"/>
      <c r="AE46" s="35"/>
      <c r="AF46" s="35"/>
      <c r="AG46" s="35"/>
      <c r="AH46" s="35"/>
      <c r="AI46" s="35"/>
      <c r="AJ46" s="35"/>
      <c r="AK46" s="35"/>
      <c r="AL46" s="35"/>
      <c r="AM46" s="36" t="s">
        <v>34</v>
      </c>
      <c r="AN46" s="35"/>
      <c r="AO46" s="37"/>
      <c r="AP46" s="17"/>
      <c r="AQ46" s="18"/>
    </row>
    <row r="47" spans="2:43" ht="13.5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0"/>
    </row>
    <row r="48" spans="2:43" s="1" customFormat="1" ht="15">
      <c r="B48" s="16"/>
      <c r="C48" s="17"/>
      <c r="D48" s="29" t="s">
        <v>35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1"/>
      <c r="AA48" s="17"/>
      <c r="AB48" s="17"/>
      <c r="AC48" s="29" t="s">
        <v>36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  <c r="AP48" s="17"/>
      <c r="AQ48" s="18"/>
    </row>
    <row r="49" spans="2:43" ht="13.5">
      <c r="B49" s="8"/>
      <c r="C49" s="9"/>
      <c r="D49" s="3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33"/>
      <c r="AA49" s="9"/>
      <c r="AB49" s="9"/>
      <c r="AC49" s="32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3"/>
      <c r="AP49" s="9"/>
      <c r="AQ49" s="10"/>
    </row>
    <row r="50" spans="2:43" ht="13.5">
      <c r="B50" s="8"/>
      <c r="C50" s="9"/>
      <c r="D50" s="3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33"/>
      <c r="AA50" s="9"/>
      <c r="AB50" s="9"/>
      <c r="AC50" s="32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3"/>
      <c r="AP50" s="9"/>
      <c r="AQ50" s="10"/>
    </row>
    <row r="51" spans="2:43" ht="13.5">
      <c r="B51" s="8"/>
      <c r="C51" s="9"/>
      <c r="D51" s="3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33"/>
      <c r="AA51" s="9"/>
      <c r="AB51" s="9"/>
      <c r="AC51" s="3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3"/>
      <c r="AP51" s="9"/>
      <c r="AQ51" s="10"/>
    </row>
    <row r="52" spans="2:43" ht="13.5">
      <c r="B52" s="8"/>
      <c r="C52" s="9"/>
      <c r="D52" s="32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33"/>
      <c r="AA52" s="9"/>
      <c r="AB52" s="9"/>
      <c r="AC52" s="32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3"/>
      <c r="AP52" s="9"/>
      <c r="AQ52" s="10"/>
    </row>
    <row r="53" spans="2:43" ht="13.5">
      <c r="B53" s="8"/>
      <c r="C53" s="9"/>
      <c r="D53" s="3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33"/>
      <c r="AA53" s="9"/>
      <c r="AB53" s="9"/>
      <c r="AC53" s="32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3"/>
      <c r="AP53" s="9"/>
      <c r="AQ53" s="10"/>
    </row>
    <row r="54" spans="2:43" ht="13.5">
      <c r="B54" s="8"/>
      <c r="C54" s="9"/>
      <c r="D54" s="3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33"/>
      <c r="AA54" s="9"/>
      <c r="AB54" s="9"/>
      <c r="AC54" s="3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3"/>
      <c r="AP54" s="9"/>
      <c r="AQ54" s="10"/>
    </row>
    <row r="55" spans="2:43" ht="13.5">
      <c r="B55" s="8"/>
      <c r="C55" s="9"/>
      <c r="D55" s="3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3"/>
      <c r="AA55" s="9"/>
      <c r="AB55" s="9"/>
      <c r="AC55" s="32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3"/>
      <c r="AP55" s="9"/>
      <c r="AQ55" s="10"/>
    </row>
    <row r="56" spans="2:43" ht="13.5">
      <c r="B56" s="8"/>
      <c r="C56" s="9"/>
      <c r="D56" s="3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33"/>
      <c r="AA56" s="9"/>
      <c r="AB56" s="9"/>
      <c r="AC56" s="32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3"/>
      <c r="AP56" s="9"/>
      <c r="AQ56" s="10"/>
    </row>
    <row r="57" spans="2:43" s="1" customFormat="1" ht="15">
      <c r="B57" s="16"/>
      <c r="C57" s="17"/>
      <c r="D57" s="34" t="s">
        <v>33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 t="s">
        <v>34</v>
      </c>
      <c r="S57" s="35"/>
      <c r="T57" s="35"/>
      <c r="U57" s="35"/>
      <c r="V57" s="35"/>
      <c r="W57" s="35"/>
      <c r="X57" s="35"/>
      <c r="Y57" s="35"/>
      <c r="Z57" s="37"/>
      <c r="AA57" s="17"/>
      <c r="AB57" s="17"/>
      <c r="AC57" s="34" t="s">
        <v>33</v>
      </c>
      <c r="AD57" s="35"/>
      <c r="AE57" s="35"/>
      <c r="AF57" s="35"/>
      <c r="AG57" s="35"/>
      <c r="AH57" s="35"/>
      <c r="AI57" s="35"/>
      <c r="AJ57" s="35"/>
      <c r="AK57" s="35"/>
      <c r="AL57" s="35"/>
      <c r="AM57" s="36" t="s">
        <v>34</v>
      </c>
      <c r="AN57" s="35"/>
      <c r="AO57" s="37"/>
      <c r="AP57" s="17"/>
      <c r="AQ57" s="18"/>
    </row>
    <row r="58" spans="2:43" s="1" customFormat="1" ht="13.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8"/>
    </row>
    <row r="59" spans="2:43" s="1" customFormat="1" ht="13.5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0"/>
    </row>
    <row r="63" spans="2:43" s="167" customFormat="1" ht="7.5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91"/>
    </row>
    <row r="64" spans="2:43" s="1" customFormat="1" ht="21">
      <c r="B64" s="16"/>
      <c r="C64" s="375" t="s">
        <v>37</v>
      </c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18"/>
    </row>
    <row r="65" spans="2:43" s="167" customFormat="1" ht="7.5">
      <c r="B65" s="173"/>
      <c r="C65" s="206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92"/>
    </row>
    <row r="66" spans="2:43" s="3" customFormat="1" ht="18">
      <c r="B66" s="42"/>
      <c r="C66" s="43" t="s">
        <v>6</v>
      </c>
      <c r="D66" s="44"/>
      <c r="E66" s="44"/>
      <c r="F66" s="44"/>
      <c r="G66" s="44"/>
      <c r="H66" s="44"/>
      <c r="I66" s="44"/>
      <c r="J66" s="44"/>
      <c r="K66" s="44"/>
      <c r="L66" s="384" t="str">
        <f>K5</f>
        <v>Oprava povrchu části chodníku ulice Pardubická, Chrudim</v>
      </c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5"/>
      <c r="AL66" s="385"/>
      <c r="AM66" s="385"/>
      <c r="AN66" s="385"/>
      <c r="AO66" s="385"/>
      <c r="AP66" s="44"/>
      <c r="AQ66" s="45"/>
    </row>
    <row r="67" spans="2:43" s="167" customFormat="1" ht="7.5">
      <c r="B67" s="173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92"/>
    </row>
    <row r="68" spans="2:43" s="1" customFormat="1" ht="15">
      <c r="B68" s="16"/>
      <c r="C68" s="13" t="s">
        <v>9</v>
      </c>
      <c r="D68" s="17"/>
      <c r="E68" s="17"/>
      <c r="F68" s="17"/>
      <c r="G68" s="17"/>
      <c r="H68" s="17"/>
      <c r="I68" s="17"/>
      <c r="J68" s="17"/>
      <c r="K68" s="17"/>
      <c r="L68" s="46" t="str">
        <f>IF(K6="","",K6)</f>
        <v> 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3" t="s">
        <v>11</v>
      </c>
      <c r="AJ68" s="17"/>
      <c r="AK68" s="17"/>
      <c r="AL68" s="17"/>
      <c r="AM68" s="389">
        <f>IF(AN6="","",AN6)</f>
        <v>44590</v>
      </c>
      <c r="AN68" s="389"/>
      <c r="AO68" s="17"/>
      <c r="AP68" s="17"/>
      <c r="AQ68" s="18"/>
    </row>
    <row r="69" spans="2:43" s="1" customFormat="1" ht="13.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8"/>
    </row>
    <row r="70" spans="2:43" s="1" customFormat="1" ht="15">
      <c r="B70" s="16"/>
      <c r="C70" s="13" t="s">
        <v>14</v>
      </c>
      <c r="D70" s="17"/>
      <c r="E70" s="17"/>
      <c r="F70" s="17"/>
      <c r="G70" s="17"/>
      <c r="H70" s="17"/>
      <c r="I70" s="17"/>
      <c r="J70" s="17"/>
      <c r="K70" s="17"/>
      <c r="L70" s="41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3" t="s">
        <v>18</v>
      </c>
      <c r="AJ70" s="17"/>
      <c r="AK70" s="17"/>
      <c r="AL70" s="17"/>
      <c r="AM70" s="386"/>
      <c r="AN70" s="387"/>
      <c r="AO70" s="387"/>
      <c r="AP70" s="387"/>
      <c r="AQ70" s="18"/>
    </row>
    <row r="71" spans="2:43" s="1" customFormat="1" ht="15">
      <c r="B71" s="16"/>
      <c r="C71" s="13" t="s">
        <v>17</v>
      </c>
      <c r="D71" s="17"/>
      <c r="E71" s="17"/>
      <c r="F71" s="17"/>
      <c r="G71" s="17"/>
      <c r="H71" s="17"/>
      <c r="I71" s="17"/>
      <c r="J71" s="17"/>
      <c r="K71" s="17"/>
      <c r="L71" s="41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3" t="s">
        <v>19</v>
      </c>
      <c r="AJ71" s="17"/>
      <c r="AK71" s="17"/>
      <c r="AL71" s="17"/>
      <c r="AM71" s="386" t="str">
        <f>IF(E12="","",E12)</f>
        <v> </v>
      </c>
      <c r="AN71" s="387"/>
      <c r="AO71" s="387"/>
      <c r="AP71" s="387"/>
      <c r="AQ71" s="18"/>
    </row>
    <row r="72" spans="2:43" s="1" customFormat="1" ht="13.5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8"/>
    </row>
    <row r="73" spans="2:43" s="1" customFormat="1" ht="15">
      <c r="B73" s="16"/>
      <c r="C73" s="381" t="s">
        <v>38</v>
      </c>
      <c r="D73" s="369"/>
      <c r="E73" s="369"/>
      <c r="F73" s="369"/>
      <c r="G73" s="369"/>
      <c r="H73" s="47"/>
      <c r="I73" s="368" t="s">
        <v>39</v>
      </c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274"/>
      <c r="AH73" s="274"/>
      <c r="AI73" s="368" t="s">
        <v>40</v>
      </c>
      <c r="AJ73" s="368"/>
      <c r="AK73" s="368"/>
      <c r="AL73" s="368"/>
      <c r="AM73" s="368"/>
      <c r="AN73" s="368" t="s">
        <v>41</v>
      </c>
      <c r="AO73" s="369"/>
      <c r="AP73" s="370"/>
      <c r="AQ73" s="18"/>
    </row>
    <row r="74" spans="2:43" s="1" customFormat="1" ht="13.5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8"/>
    </row>
    <row r="75" spans="2:62" s="3" customFormat="1" ht="18">
      <c r="B75" s="42"/>
      <c r="C75" s="48" t="s">
        <v>42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4"/>
      <c r="AH75" s="275"/>
      <c r="AI75" s="388">
        <f>SUM(AI76:AM77)</f>
        <v>0</v>
      </c>
      <c r="AJ75" s="388"/>
      <c r="AK75" s="388"/>
      <c r="AL75" s="388"/>
      <c r="AM75" s="388"/>
      <c r="AN75" s="382">
        <f>SUM(AN76:AP77)</f>
        <v>0</v>
      </c>
      <c r="AO75" s="382"/>
      <c r="AP75" s="382"/>
      <c r="AQ75" s="45"/>
      <c r="BE75" s="50" t="s">
        <v>43</v>
      </c>
      <c r="BF75" s="50" t="s">
        <v>44</v>
      </c>
      <c r="BH75" s="50" t="s">
        <v>45</v>
      </c>
      <c r="BI75" s="50" t="s">
        <v>46</v>
      </c>
      <c r="BJ75" s="50" t="s">
        <v>47</v>
      </c>
    </row>
    <row r="76" spans="2:62" s="4" customFormat="1" ht="16.5" customHeight="1">
      <c r="B76" s="51"/>
      <c r="C76" s="52"/>
      <c r="D76" s="296" t="str">
        <f>'SO.101 - Chodník'!F6</f>
        <v>Oprava povrchu části chodníku ulice Pardubická, Chrudim</v>
      </c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362">
        <f>'SO.101 - Chodník'!M20</f>
        <v>0</v>
      </c>
      <c r="AJ76" s="362"/>
      <c r="AK76" s="362"/>
      <c r="AL76" s="362"/>
      <c r="AM76" s="362"/>
      <c r="AN76" s="361">
        <f>AI76*1.21</f>
        <v>0</v>
      </c>
      <c r="AO76" s="361"/>
      <c r="AP76" s="361"/>
      <c r="AQ76" s="53"/>
      <c r="BF76" s="54" t="s">
        <v>8</v>
      </c>
      <c r="BG76" s="54" t="s">
        <v>48</v>
      </c>
      <c r="BH76" s="54" t="s">
        <v>45</v>
      </c>
      <c r="BI76" s="54" t="s">
        <v>46</v>
      </c>
      <c r="BJ76" s="54" t="s">
        <v>47</v>
      </c>
    </row>
    <row r="77" spans="2:43" ht="16.5">
      <c r="B77" s="8"/>
      <c r="C77" s="9"/>
      <c r="D77" s="359"/>
      <c r="E77" s="359"/>
      <c r="F77" s="359"/>
      <c r="G77" s="359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2"/>
      <c r="AJ77" s="362"/>
      <c r="AK77" s="362"/>
      <c r="AL77" s="362"/>
      <c r="AM77" s="362"/>
      <c r="AN77" s="361"/>
      <c r="AO77" s="361"/>
      <c r="AP77" s="361"/>
      <c r="AQ77" s="10"/>
    </row>
    <row r="78" spans="2:43" s="1" customFormat="1" ht="18">
      <c r="B78" s="16"/>
      <c r="C78" s="48" t="s">
        <v>49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14"/>
      <c r="AI78" s="388">
        <v>0</v>
      </c>
      <c r="AJ78" s="388"/>
      <c r="AK78" s="388"/>
      <c r="AL78" s="388"/>
      <c r="AM78" s="388"/>
      <c r="AN78" s="382">
        <v>0</v>
      </c>
      <c r="AO78" s="383"/>
      <c r="AP78" s="383"/>
      <c r="AQ78" s="18"/>
    </row>
    <row r="79" spans="2:43" s="1" customFormat="1" ht="13.5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8"/>
    </row>
    <row r="80" spans="2:43" s="1" customFormat="1" ht="18">
      <c r="B80" s="16"/>
      <c r="C80" s="55" t="s">
        <v>50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367">
        <f>ROUND(AI75+AI78,2)</f>
        <v>0</v>
      </c>
      <c r="AH80" s="367"/>
      <c r="AI80" s="367"/>
      <c r="AJ80" s="367"/>
      <c r="AK80" s="367"/>
      <c r="AL80" s="367"/>
      <c r="AM80" s="367"/>
      <c r="AN80" s="367">
        <f>AN75+AN78</f>
        <v>0</v>
      </c>
      <c r="AO80" s="367"/>
      <c r="AP80" s="367"/>
      <c r="AQ80" s="18"/>
    </row>
    <row r="81" spans="2:43" s="1" customFormat="1" ht="13.5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</sheetData>
  <sheetProtection/>
  <mergeCells count="37">
    <mergeCell ref="W23:AE23"/>
    <mergeCell ref="AK23:AO23"/>
    <mergeCell ref="AI75:AM75"/>
    <mergeCell ref="AM68:AN68"/>
    <mergeCell ref="L22:O22"/>
    <mergeCell ref="W22:AE22"/>
    <mergeCell ref="AK25:AO25"/>
    <mergeCell ref="C64:AP64"/>
    <mergeCell ref="AI73:AM73"/>
    <mergeCell ref="AM71:AP71"/>
    <mergeCell ref="C73:G73"/>
    <mergeCell ref="I73:AF73"/>
    <mergeCell ref="AN78:AP78"/>
    <mergeCell ref="AN75:AP75"/>
    <mergeCell ref="L66:AO66"/>
    <mergeCell ref="AM70:AP70"/>
    <mergeCell ref="AI78:AM78"/>
    <mergeCell ref="AG80:AM80"/>
    <mergeCell ref="AN80:AP80"/>
    <mergeCell ref="AN76:AP76"/>
    <mergeCell ref="AN73:AP73"/>
    <mergeCell ref="X25:AB25"/>
    <mergeCell ref="C1:AP1"/>
    <mergeCell ref="C3:AP3"/>
    <mergeCell ref="K4:AO4"/>
    <mergeCell ref="K5:AO5"/>
    <mergeCell ref="E14:AN14"/>
    <mergeCell ref="AK17:AO17"/>
    <mergeCell ref="AK20:AO20"/>
    <mergeCell ref="D77:G77"/>
    <mergeCell ref="H77:AH77"/>
    <mergeCell ref="AN77:AP77"/>
    <mergeCell ref="AI77:AM77"/>
    <mergeCell ref="AI76:AM76"/>
    <mergeCell ref="AK22:AO22"/>
    <mergeCell ref="L23:O23"/>
    <mergeCell ref="AK18:AO18"/>
  </mergeCells>
  <printOptions horizontalCentered="1"/>
  <pageMargins left="0.1968503937007874" right="0.1968503937007874" top="0.7874015748031497" bottom="0.3937007874015748" header="0" footer="0.1968503937007874"/>
  <pageSetup errors="blank" horizontalDpi="600" verticalDpi="600" orientation="portrait" paperSize="9" scale="8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8"/>
  <sheetViews>
    <sheetView showGridLines="0" tabSelected="1" view="pageBreakPreview" zoomScaleSheetLayoutView="100" zoomScalePageLayoutView="0" workbookViewId="0" topLeftCell="A226">
      <selection activeCell="AI236" sqref="AI23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2.421875" style="0" customWidth="1"/>
    <col min="6" max="7" width="11.140625" style="0" customWidth="1"/>
    <col min="8" max="8" width="12.421875" style="0" customWidth="1"/>
    <col min="9" max="9" width="12.8515625" style="0" customWidth="1"/>
    <col min="10" max="10" width="5.140625" style="0" customWidth="1"/>
    <col min="11" max="11" width="9.00390625" style="344" customWidth="1"/>
    <col min="12" max="13" width="4.57421875" style="0" customWidth="1"/>
    <col min="14" max="17" width="3.00390625" style="0" customWidth="1"/>
    <col min="18" max="18" width="11.00390625" style="0" customWidth="1"/>
    <col min="19" max="19" width="9.8515625" style="0" bestFit="1" customWidth="1"/>
    <col min="20" max="20" width="8.00390625" style="0" bestFit="1" customWidth="1"/>
    <col min="21" max="21" width="10.140625" style="0" customWidth="1"/>
    <col min="22" max="22" width="1.421875" style="0" customWidth="1"/>
    <col min="23" max="23" width="2.140625" style="0" customWidth="1"/>
    <col min="24" max="24" width="13.57421875" style="0" bestFit="1" customWidth="1"/>
    <col min="25" max="25" width="2.140625" style="0" customWidth="1"/>
    <col min="26" max="26" width="6.57421875" style="0" bestFit="1" customWidth="1"/>
    <col min="27" max="27" width="3.421875" style="0" bestFit="1" customWidth="1"/>
    <col min="28" max="28" width="2.140625" style="0" customWidth="1"/>
  </cols>
  <sheetData>
    <row r="1" spans="3:26" ht="13.5">
      <c r="C1" s="432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</row>
    <row r="2" spans="2:22" s="210" customFormat="1" ht="7.5">
      <c r="B2" s="211"/>
      <c r="C2" s="212"/>
      <c r="D2" s="212"/>
      <c r="E2" s="212"/>
      <c r="F2" s="212"/>
      <c r="G2" s="212"/>
      <c r="H2" s="212"/>
      <c r="I2" s="212"/>
      <c r="J2" s="212"/>
      <c r="K2" s="3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4"/>
    </row>
    <row r="3" spans="2:22" ht="21" customHeight="1">
      <c r="B3" s="8"/>
      <c r="C3" s="375" t="s">
        <v>51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10"/>
    </row>
    <row r="4" spans="2:22" s="210" customFormat="1" ht="7.5">
      <c r="B4" s="208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215"/>
    </row>
    <row r="5" spans="2:22" s="1" customFormat="1" ht="18">
      <c r="B5" s="16"/>
      <c r="C5" s="12" t="s">
        <v>6</v>
      </c>
      <c r="D5" s="17"/>
      <c r="E5" s="17"/>
      <c r="F5" s="379" t="str">
        <f>'Rekapitulace stavby'!K5</f>
        <v>Oprava povrchu části chodníku ulice Pardubická, Chrudim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17"/>
      <c r="R5" s="17"/>
      <c r="S5" s="17"/>
      <c r="T5" s="17"/>
      <c r="U5" s="17"/>
      <c r="V5" s="18"/>
    </row>
    <row r="6" spans="2:22" s="1" customFormat="1" ht="18">
      <c r="B6" s="16"/>
      <c r="C6" s="12" t="s">
        <v>103</v>
      </c>
      <c r="D6" s="17"/>
      <c r="E6" s="17"/>
      <c r="F6" s="379" t="str">
        <f>F5</f>
        <v>Oprava povrchu části chodníku ulice Pardubická, Chrudim</v>
      </c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17"/>
      <c r="R6" s="17"/>
      <c r="S6" s="17"/>
      <c r="T6" s="17"/>
      <c r="U6" s="17"/>
      <c r="V6" s="18"/>
    </row>
    <row r="7" spans="2:22" s="167" customFormat="1" ht="7.5">
      <c r="B7" s="173"/>
      <c r="C7" s="206"/>
      <c r="D7" s="169"/>
      <c r="E7" s="169"/>
      <c r="F7" s="207"/>
      <c r="G7" s="169"/>
      <c r="H7" s="169"/>
      <c r="I7" s="169"/>
      <c r="J7" s="169"/>
      <c r="K7" s="313"/>
      <c r="L7" s="169"/>
      <c r="M7" s="206"/>
      <c r="N7" s="169"/>
      <c r="O7" s="207"/>
      <c r="P7" s="169"/>
      <c r="Q7" s="169"/>
      <c r="R7" s="169"/>
      <c r="S7" s="169"/>
      <c r="T7" s="169"/>
      <c r="U7" s="169"/>
      <c r="V7" s="192"/>
    </row>
    <row r="8" spans="2:22" s="1" customFormat="1" ht="15">
      <c r="B8" s="16"/>
      <c r="C8" s="13" t="s">
        <v>9</v>
      </c>
      <c r="D8" s="17"/>
      <c r="E8" s="17"/>
      <c r="F8" s="11" t="s">
        <v>10</v>
      </c>
      <c r="G8" s="17"/>
      <c r="H8" s="17"/>
      <c r="I8" s="17"/>
      <c r="J8" s="17"/>
      <c r="K8" s="314"/>
      <c r="L8" s="17"/>
      <c r="M8" s="13" t="s">
        <v>11</v>
      </c>
      <c r="N8" s="389">
        <f>'Rekapitulace stavby'!AN6</f>
        <v>44590</v>
      </c>
      <c r="O8" s="389"/>
      <c r="P8" s="389"/>
      <c r="Q8" s="17"/>
      <c r="R8" s="17"/>
      <c r="S8" s="17"/>
      <c r="T8" s="17"/>
      <c r="U8" s="17"/>
      <c r="V8" s="18"/>
    </row>
    <row r="9" spans="2:22" s="167" customFormat="1" ht="7.5">
      <c r="B9" s="173"/>
      <c r="C9" s="169"/>
      <c r="D9" s="169"/>
      <c r="E9" s="169"/>
      <c r="F9" s="169"/>
      <c r="G9" s="169"/>
      <c r="H9" s="169"/>
      <c r="I9" s="169"/>
      <c r="J9" s="169"/>
      <c r="K9" s="313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92"/>
    </row>
    <row r="10" spans="2:22" s="1" customFormat="1" ht="15">
      <c r="B10" s="16"/>
      <c r="C10" s="13" t="s">
        <v>14</v>
      </c>
      <c r="D10" s="17"/>
      <c r="E10" s="17"/>
      <c r="F10" s="17"/>
      <c r="G10" s="17"/>
      <c r="H10" s="17"/>
      <c r="I10" s="17"/>
      <c r="J10" s="17"/>
      <c r="K10" s="315" t="s">
        <v>15</v>
      </c>
      <c r="L10" s="17"/>
      <c r="M10" s="205" t="s">
        <v>16</v>
      </c>
      <c r="N10" s="17"/>
      <c r="O10" s="434">
        <f>IF('Rekapitulace stavby'!AN8="","",'Rekapitulace stavby'!AN8)</f>
      </c>
      <c r="P10" s="387"/>
      <c r="Q10" s="17"/>
      <c r="R10" s="17"/>
      <c r="S10" s="17"/>
      <c r="T10" s="17"/>
      <c r="U10" s="17"/>
      <c r="V10" s="18"/>
    </row>
    <row r="11" spans="2:22" s="1" customFormat="1" ht="15">
      <c r="B11" s="16"/>
      <c r="C11" s="13" t="s">
        <v>17</v>
      </c>
      <c r="D11" s="17"/>
      <c r="E11" s="17"/>
      <c r="F11" s="17"/>
      <c r="G11" s="17"/>
      <c r="H11" s="17"/>
      <c r="I11" s="17"/>
      <c r="J11" s="17"/>
      <c r="K11" s="315" t="s">
        <v>15</v>
      </c>
      <c r="L11" s="17"/>
      <c r="M11" s="205" t="s">
        <v>16</v>
      </c>
      <c r="N11" s="17"/>
      <c r="O11" s="434">
        <f>IF('Rekapitulace stavby'!AN9="","",'Rekapitulace stavby'!AN9)</f>
      </c>
      <c r="P11" s="387"/>
      <c r="Q11" s="17"/>
      <c r="R11" s="17"/>
      <c r="S11" s="17"/>
      <c r="T11" s="17"/>
      <c r="U11" s="17"/>
      <c r="V11" s="18"/>
    </row>
    <row r="12" spans="2:22" s="1" customFormat="1" ht="15">
      <c r="B12" s="16"/>
      <c r="C12" s="13" t="s">
        <v>18</v>
      </c>
      <c r="D12" s="17"/>
      <c r="E12" s="17"/>
      <c r="F12" s="17"/>
      <c r="G12" s="17"/>
      <c r="H12" s="17"/>
      <c r="I12" s="17"/>
      <c r="J12" s="17"/>
      <c r="K12" s="315" t="s">
        <v>15</v>
      </c>
      <c r="L12" s="17"/>
      <c r="M12" s="205" t="s">
        <v>16</v>
      </c>
      <c r="N12" s="17"/>
      <c r="O12" s="434">
        <f>IF('Rekapitulace stavby'!AN10="","",'Rekapitulace stavby'!AN10)</f>
      </c>
      <c r="P12" s="387"/>
      <c r="Q12" s="17"/>
      <c r="R12" s="17"/>
      <c r="S12" s="17"/>
      <c r="T12" s="17"/>
      <c r="U12" s="17"/>
      <c r="V12" s="18"/>
    </row>
    <row r="13" spans="2:22" s="1" customFormat="1" ht="15">
      <c r="B13" s="16"/>
      <c r="C13" s="13" t="s">
        <v>19</v>
      </c>
      <c r="D13" s="17"/>
      <c r="E13" s="17"/>
      <c r="F13" s="17"/>
      <c r="G13" s="17"/>
      <c r="H13" s="17"/>
      <c r="I13" s="17"/>
      <c r="J13" s="17"/>
      <c r="K13" s="315" t="s">
        <v>15</v>
      </c>
      <c r="L13" s="17"/>
      <c r="M13" s="205" t="s">
        <v>16</v>
      </c>
      <c r="N13" s="17"/>
      <c r="O13" s="434">
        <f>IF('Rekapitulace stavby'!AN11="","",'Rekapitulace stavby'!AN11)</f>
      </c>
      <c r="P13" s="387"/>
      <c r="Q13" s="17"/>
      <c r="R13" s="17"/>
      <c r="S13" s="17"/>
      <c r="T13" s="17"/>
      <c r="U13" s="17"/>
      <c r="V13" s="18"/>
    </row>
    <row r="14" spans="2:22" s="167" customFormat="1" ht="7.5">
      <c r="B14" s="173"/>
      <c r="C14" s="169"/>
      <c r="D14" s="169"/>
      <c r="E14" s="169"/>
      <c r="F14" s="169"/>
      <c r="G14" s="169"/>
      <c r="H14" s="169"/>
      <c r="I14" s="169"/>
      <c r="J14" s="169"/>
      <c r="K14" s="313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92"/>
    </row>
    <row r="15" spans="2:22" s="1" customFormat="1" ht="15">
      <c r="B15" s="16"/>
      <c r="C15" s="13" t="s">
        <v>20</v>
      </c>
      <c r="D15" s="17"/>
      <c r="E15" s="17"/>
      <c r="F15" s="17"/>
      <c r="G15" s="17"/>
      <c r="H15" s="17"/>
      <c r="I15" s="17"/>
      <c r="J15" s="17"/>
      <c r="K15" s="31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</row>
    <row r="16" spans="2:22" s="167" customFormat="1" ht="7.5">
      <c r="B16" s="173"/>
      <c r="C16" s="213"/>
      <c r="D16" s="213"/>
      <c r="E16" s="213"/>
      <c r="F16" s="213"/>
      <c r="G16" s="213"/>
      <c r="H16" s="213"/>
      <c r="I16" s="213"/>
      <c r="J16" s="213"/>
      <c r="K16" s="316"/>
      <c r="L16" s="213"/>
      <c r="M16" s="213"/>
      <c r="N16" s="213"/>
      <c r="O16" s="213"/>
      <c r="P16" s="213"/>
      <c r="Q16" s="169"/>
      <c r="R16" s="169"/>
      <c r="S16" s="169"/>
      <c r="T16" s="169"/>
      <c r="U16" s="169"/>
      <c r="V16" s="192"/>
    </row>
    <row r="17" spans="2:22" s="1" customFormat="1" ht="15">
      <c r="B17" s="16"/>
      <c r="C17" s="57" t="s">
        <v>52</v>
      </c>
      <c r="D17" s="17"/>
      <c r="E17" s="17"/>
      <c r="F17" s="17"/>
      <c r="G17" s="17"/>
      <c r="H17" s="17"/>
      <c r="I17" s="17"/>
      <c r="J17" s="17"/>
      <c r="K17" s="314"/>
      <c r="L17" s="17"/>
      <c r="M17" s="355">
        <f>N40</f>
        <v>0</v>
      </c>
      <c r="N17" s="383"/>
      <c r="O17" s="383"/>
      <c r="P17" s="383"/>
      <c r="Q17" s="17"/>
      <c r="R17" s="17"/>
      <c r="S17" s="17"/>
      <c r="T17" s="17"/>
      <c r="U17" s="17"/>
      <c r="V17" s="18"/>
    </row>
    <row r="18" spans="2:22" s="1" customFormat="1" ht="15">
      <c r="B18" s="16"/>
      <c r="C18" s="15" t="s">
        <v>53</v>
      </c>
      <c r="D18" s="17"/>
      <c r="E18" s="17"/>
      <c r="F18" s="17"/>
      <c r="G18" s="17"/>
      <c r="H18" s="17"/>
      <c r="I18" s="17"/>
      <c r="J18" s="17"/>
      <c r="K18" s="314"/>
      <c r="L18" s="17"/>
      <c r="M18" s="355">
        <f>N48</f>
        <v>0</v>
      </c>
      <c r="N18" s="383"/>
      <c r="O18" s="383"/>
      <c r="P18" s="383"/>
      <c r="Q18" s="17"/>
      <c r="R18" s="17"/>
      <c r="S18" s="17"/>
      <c r="T18" s="17"/>
      <c r="U18" s="17"/>
      <c r="V18" s="18"/>
    </row>
    <row r="19" spans="2:22" s="167" customFormat="1" ht="7.5">
      <c r="B19" s="173"/>
      <c r="C19" s="169"/>
      <c r="D19" s="169"/>
      <c r="E19" s="169"/>
      <c r="F19" s="169"/>
      <c r="G19" s="169"/>
      <c r="H19" s="169"/>
      <c r="I19" s="169"/>
      <c r="J19" s="169"/>
      <c r="K19" s="313"/>
      <c r="L19" s="169"/>
      <c r="M19" s="176"/>
      <c r="N19" s="176"/>
      <c r="O19" s="176"/>
      <c r="P19" s="176"/>
      <c r="Q19" s="169"/>
      <c r="R19" s="169"/>
      <c r="S19" s="169"/>
      <c r="T19" s="169"/>
      <c r="U19" s="169"/>
      <c r="V19" s="192"/>
    </row>
    <row r="20" spans="2:22" s="1" customFormat="1" ht="15">
      <c r="B20" s="16"/>
      <c r="C20" s="58" t="s">
        <v>23</v>
      </c>
      <c r="D20" s="17"/>
      <c r="E20" s="17"/>
      <c r="F20" s="17"/>
      <c r="G20" s="17"/>
      <c r="H20" s="17"/>
      <c r="I20" s="17"/>
      <c r="J20" s="17"/>
      <c r="K20" s="314"/>
      <c r="L20" s="17"/>
      <c r="M20" s="431">
        <f>ROUND(M17+M18,2)</f>
        <v>0</v>
      </c>
      <c r="N20" s="383"/>
      <c r="O20" s="383"/>
      <c r="P20" s="383"/>
      <c r="Q20" s="17"/>
      <c r="R20" s="17"/>
      <c r="S20" s="17"/>
      <c r="T20" s="17"/>
      <c r="U20" s="17"/>
      <c r="V20" s="18"/>
    </row>
    <row r="21" spans="2:22" s="167" customFormat="1" ht="7.5">
      <c r="B21" s="173"/>
      <c r="C21" s="213"/>
      <c r="D21" s="213"/>
      <c r="E21" s="213"/>
      <c r="F21" s="213"/>
      <c r="G21" s="213"/>
      <c r="H21" s="213"/>
      <c r="I21" s="213"/>
      <c r="J21" s="213"/>
      <c r="K21" s="316"/>
      <c r="L21" s="213"/>
      <c r="M21" s="220"/>
      <c r="N21" s="220"/>
      <c r="O21" s="220"/>
      <c r="P21" s="220"/>
      <c r="Q21" s="169"/>
      <c r="R21" s="169"/>
      <c r="S21" s="169"/>
      <c r="T21" s="169"/>
      <c r="U21" s="169"/>
      <c r="V21" s="192"/>
    </row>
    <row r="22" spans="2:22" s="1" customFormat="1" ht="13.5">
      <c r="B22" s="16"/>
      <c r="C22" s="23" t="s">
        <v>24</v>
      </c>
      <c r="D22" s="17"/>
      <c r="E22" s="23" t="s">
        <v>25</v>
      </c>
      <c r="F22" s="103">
        <v>0.21</v>
      </c>
      <c r="G22" s="59" t="s">
        <v>26</v>
      </c>
      <c r="H22" s="364">
        <f>M20</f>
        <v>0</v>
      </c>
      <c r="I22" s="383"/>
      <c r="J22" s="383"/>
      <c r="K22" s="314"/>
      <c r="L22" s="114"/>
      <c r="M22" s="364">
        <f>H22*F22</f>
        <v>0</v>
      </c>
      <c r="N22" s="383"/>
      <c r="O22" s="383"/>
      <c r="P22" s="383"/>
      <c r="Q22" s="17"/>
      <c r="R22" s="17"/>
      <c r="S22" s="17"/>
      <c r="T22" s="17"/>
      <c r="U22" s="17"/>
      <c r="V22" s="18"/>
    </row>
    <row r="23" spans="2:22" s="1" customFormat="1" ht="13.5">
      <c r="B23" s="16"/>
      <c r="C23" s="17"/>
      <c r="D23" s="17"/>
      <c r="E23" s="23" t="s">
        <v>27</v>
      </c>
      <c r="F23" s="103">
        <v>0.15</v>
      </c>
      <c r="G23" s="59" t="s">
        <v>26</v>
      </c>
      <c r="H23" s="364"/>
      <c r="I23" s="383"/>
      <c r="J23" s="383"/>
      <c r="K23" s="314"/>
      <c r="L23" s="114"/>
      <c r="M23" s="364"/>
      <c r="N23" s="383"/>
      <c r="O23" s="383"/>
      <c r="P23" s="383"/>
      <c r="Q23" s="17"/>
      <c r="R23" s="17"/>
      <c r="S23" s="17"/>
      <c r="T23" s="17"/>
      <c r="U23" s="17"/>
      <c r="V23" s="18"/>
    </row>
    <row r="24" spans="2:22" s="167" customFormat="1" ht="7.5">
      <c r="B24" s="173"/>
      <c r="C24" s="169"/>
      <c r="D24" s="169"/>
      <c r="E24" s="169"/>
      <c r="F24" s="169"/>
      <c r="G24" s="169"/>
      <c r="H24" s="176"/>
      <c r="I24" s="176"/>
      <c r="J24" s="176"/>
      <c r="K24" s="313"/>
      <c r="L24" s="176"/>
      <c r="M24" s="176"/>
      <c r="N24" s="176"/>
      <c r="O24" s="176"/>
      <c r="P24" s="176"/>
      <c r="Q24" s="169"/>
      <c r="R24" s="169"/>
      <c r="S24" s="169"/>
      <c r="T24" s="169"/>
      <c r="U24" s="169"/>
      <c r="V24" s="192"/>
    </row>
    <row r="25" spans="2:22" s="1" customFormat="1" ht="18">
      <c r="B25" s="16"/>
      <c r="C25" s="217" t="s">
        <v>28</v>
      </c>
      <c r="D25" s="223"/>
      <c r="E25" s="218"/>
      <c r="F25" s="218"/>
      <c r="G25" s="219" t="s">
        <v>29</v>
      </c>
      <c r="H25" s="221" t="s">
        <v>30</v>
      </c>
      <c r="I25" s="222"/>
      <c r="J25" s="222"/>
      <c r="K25" s="317"/>
      <c r="L25" s="438">
        <f>SUM(M20:M23)</f>
        <v>0</v>
      </c>
      <c r="M25" s="439"/>
      <c r="N25" s="439"/>
      <c r="O25" s="439"/>
      <c r="P25" s="440"/>
      <c r="Q25" s="216"/>
      <c r="R25" s="17"/>
      <c r="S25" s="17"/>
      <c r="T25" s="17"/>
      <c r="U25" s="17"/>
      <c r="V25" s="18"/>
    </row>
    <row r="26" spans="2:22" s="167" customFormat="1" ht="7.5">
      <c r="B26" s="171"/>
      <c r="C26" s="169"/>
      <c r="D26" s="169"/>
      <c r="E26" s="169"/>
      <c r="F26" s="169"/>
      <c r="G26" s="169"/>
      <c r="H26" s="169"/>
      <c r="I26" s="169"/>
      <c r="J26" s="169"/>
      <c r="K26" s="313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95"/>
    </row>
    <row r="27" spans="3:21" ht="13.5">
      <c r="C27" s="9"/>
      <c r="D27" s="9"/>
      <c r="E27" s="9"/>
      <c r="F27" s="9"/>
      <c r="G27" s="9"/>
      <c r="H27" s="9"/>
      <c r="I27" s="9"/>
      <c r="J27" s="9"/>
      <c r="K27" s="318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2:22" s="167" customFormat="1" ht="7.5">
      <c r="B28" s="174"/>
      <c r="C28" s="169"/>
      <c r="D28" s="169"/>
      <c r="E28" s="169"/>
      <c r="F28" s="169"/>
      <c r="G28" s="169"/>
      <c r="H28" s="169"/>
      <c r="I28" s="169"/>
      <c r="J28" s="169"/>
      <c r="K28" s="313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91"/>
    </row>
    <row r="29" spans="2:22" s="1" customFormat="1" ht="21">
      <c r="B29" s="16"/>
      <c r="C29" s="375" t="s">
        <v>54</v>
      </c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18"/>
    </row>
    <row r="30" spans="2:22" s="167" customFormat="1" ht="7.5">
      <c r="B30" s="173"/>
      <c r="C30" s="169"/>
      <c r="D30" s="169"/>
      <c r="E30" s="169"/>
      <c r="F30" s="169"/>
      <c r="G30" s="169"/>
      <c r="H30" s="169"/>
      <c r="I30" s="169"/>
      <c r="J30" s="169"/>
      <c r="K30" s="313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92"/>
    </row>
    <row r="31" spans="2:22" s="1" customFormat="1" ht="18">
      <c r="B31" s="16"/>
      <c r="C31" s="43" t="s">
        <v>6</v>
      </c>
      <c r="D31" s="17"/>
      <c r="E31" s="17"/>
      <c r="F31" s="384" t="str">
        <f>F5</f>
        <v>Oprava povrchu části chodníku ulice Pardubická, Chrudim</v>
      </c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17"/>
      <c r="R31" s="17"/>
      <c r="S31" s="17"/>
      <c r="T31" s="17"/>
      <c r="U31" s="17"/>
      <c r="V31" s="18"/>
    </row>
    <row r="32" spans="2:22" s="1" customFormat="1" ht="18">
      <c r="B32" s="16"/>
      <c r="C32" s="12" t="s">
        <v>103</v>
      </c>
      <c r="D32" s="17"/>
      <c r="E32" s="17"/>
      <c r="F32" s="379" t="str">
        <f>F6</f>
        <v>Oprava povrchu části chodníku ulice Pardubická, Chrudim</v>
      </c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17"/>
      <c r="R32" s="17"/>
      <c r="S32" s="17"/>
      <c r="T32" s="17"/>
      <c r="U32" s="17"/>
      <c r="V32" s="18"/>
    </row>
    <row r="33" spans="2:22" s="167" customFormat="1" ht="7.5">
      <c r="B33" s="173"/>
      <c r="C33" s="169"/>
      <c r="D33" s="169"/>
      <c r="E33" s="169"/>
      <c r="F33" s="169"/>
      <c r="G33" s="169"/>
      <c r="H33" s="169"/>
      <c r="I33" s="169"/>
      <c r="J33" s="169"/>
      <c r="K33" s="313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92"/>
    </row>
    <row r="34" spans="2:22" s="1" customFormat="1" ht="15">
      <c r="B34" s="16"/>
      <c r="C34" s="13" t="s">
        <v>9</v>
      </c>
      <c r="D34" s="17"/>
      <c r="E34" s="17"/>
      <c r="F34" s="11" t="str">
        <f>F8</f>
        <v> </v>
      </c>
      <c r="G34" s="17"/>
      <c r="H34" s="17"/>
      <c r="I34" s="17"/>
      <c r="J34" s="17"/>
      <c r="K34" s="319" t="s">
        <v>11</v>
      </c>
      <c r="L34" s="17"/>
      <c r="M34" s="436">
        <f>IF(N8="","",N8)</f>
        <v>44590</v>
      </c>
      <c r="N34" s="387"/>
      <c r="O34" s="387"/>
      <c r="P34" s="387"/>
      <c r="Q34" s="17"/>
      <c r="R34" s="17"/>
      <c r="S34" s="17"/>
      <c r="T34" s="17"/>
      <c r="U34" s="17"/>
      <c r="V34" s="18"/>
    </row>
    <row r="35" spans="2:22" s="1" customFormat="1" ht="15">
      <c r="B35" s="16"/>
      <c r="C35" s="13" t="s">
        <v>14</v>
      </c>
      <c r="D35" s="17"/>
      <c r="E35" s="17"/>
      <c r="F35" s="11"/>
      <c r="G35" s="17"/>
      <c r="H35" s="17"/>
      <c r="I35" s="17"/>
      <c r="J35" s="17"/>
      <c r="K35" s="319" t="s">
        <v>18</v>
      </c>
      <c r="L35" s="17"/>
      <c r="M35" s="434"/>
      <c r="N35" s="387"/>
      <c r="O35" s="387"/>
      <c r="P35" s="387"/>
      <c r="Q35" s="387"/>
      <c r="R35" s="17"/>
      <c r="S35" s="17"/>
      <c r="T35" s="17"/>
      <c r="U35" s="17"/>
      <c r="V35" s="18"/>
    </row>
    <row r="36" spans="2:22" s="1" customFormat="1" ht="15">
      <c r="B36" s="16"/>
      <c r="C36" s="13" t="s">
        <v>17</v>
      </c>
      <c r="D36" s="17"/>
      <c r="E36" s="17"/>
      <c r="F36" s="11"/>
      <c r="G36" s="17"/>
      <c r="H36" s="17"/>
      <c r="I36" s="17"/>
      <c r="J36" s="17"/>
      <c r="K36" s="319" t="s">
        <v>19</v>
      </c>
      <c r="L36" s="17"/>
      <c r="M36" s="434"/>
      <c r="N36" s="387"/>
      <c r="O36" s="387"/>
      <c r="P36" s="387"/>
      <c r="Q36" s="387"/>
      <c r="R36" s="17"/>
      <c r="S36" s="17"/>
      <c r="T36" s="17"/>
      <c r="U36" s="17"/>
      <c r="V36" s="18"/>
    </row>
    <row r="37" spans="2:22" s="167" customFormat="1" ht="7.5">
      <c r="B37" s="173"/>
      <c r="C37" s="169"/>
      <c r="D37" s="169"/>
      <c r="E37" s="169"/>
      <c r="F37" s="169"/>
      <c r="G37" s="169"/>
      <c r="H37" s="169"/>
      <c r="I37" s="169"/>
      <c r="J37" s="169"/>
      <c r="K37" s="313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92"/>
    </row>
    <row r="38" spans="2:22" s="1" customFormat="1" ht="30">
      <c r="B38" s="16"/>
      <c r="C38" s="443" t="s">
        <v>55</v>
      </c>
      <c r="D38" s="444"/>
      <c r="E38" s="444"/>
      <c r="F38" s="444"/>
      <c r="G38" s="444"/>
      <c r="H38" s="180"/>
      <c r="I38" s="180"/>
      <c r="J38" s="180"/>
      <c r="K38" s="320"/>
      <c r="L38" s="180"/>
      <c r="M38" s="180"/>
      <c r="N38" s="445" t="s">
        <v>56</v>
      </c>
      <c r="O38" s="446"/>
      <c r="P38" s="446"/>
      <c r="Q38" s="446"/>
      <c r="R38" s="180"/>
      <c r="S38" s="181" t="s">
        <v>91</v>
      </c>
      <c r="T38" s="180"/>
      <c r="U38" s="182" t="s">
        <v>92</v>
      </c>
      <c r="V38" s="18"/>
    </row>
    <row r="39" spans="2:22" s="167" customFormat="1" ht="7.5">
      <c r="B39" s="173"/>
      <c r="C39" s="169"/>
      <c r="D39" s="169"/>
      <c r="E39" s="169"/>
      <c r="F39" s="169"/>
      <c r="G39" s="169"/>
      <c r="H39" s="169"/>
      <c r="I39" s="169"/>
      <c r="J39" s="169"/>
      <c r="K39" s="313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92"/>
    </row>
    <row r="40" spans="2:29" s="1" customFormat="1" ht="18">
      <c r="B40" s="16"/>
      <c r="C40" s="60" t="s">
        <v>57</v>
      </c>
      <c r="D40" s="17"/>
      <c r="E40" s="17"/>
      <c r="F40" s="17"/>
      <c r="G40" s="17"/>
      <c r="H40" s="17"/>
      <c r="I40" s="17"/>
      <c r="J40" s="17"/>
      <c r="K40" s="314"/>
      <c r="L40" s="114"/>
      <c r="M40" s="114"/>
      <c r="N40" s="382">
        <f>SUM(N41:Q46)</f>
        <v>0</v>
      </c>
      <c r="O40" s="383"/>
      <c r="P40" s="383"/>
      <c r="Q40" s="383"/>
      <c r="R40" s="17"/>
      <c r="S40" s="177">
        <f>SUM(S41:S45)</f>
        <v>342.5371351</v>
      </c>
      <c r="T40" s="99"/>
      <c r="U40" s="177">
        <f>SUM(U41:U45)</f>
        <v>281.20885</v>
      </c>
      <c r="V40" s="193"/>
      <c r="X40" s="236">
        <f>N40-N68</f>
        <v>0</v>
      </c>
      <c r="Z40" s="392">
        <f>N40/(K146+K155+K168+K173+K177+K184)</f>
        <v>0</v>
      </c>
      <c r="AA40" s="392"/>
      <c r="AB40" s="392"/>
      <c r="AC40" s="392"/>
    </row>
    <row r="41" spans="2:22" s="5" customFormat="1" ht="15">
      <c r="B41" s="61"/>
      <c r="C41" s="183"/>
      <c r="D41" s="184" t="s">
        <v>58</v>
      </c>
      <c r="E41" s="183"/>
      <c r="F41" s="183"/>
      <c r="G41" s="183"/>
      <c r="H41" s="183"/>
      <c r="I41" s="183"/>
      <c r="J41" s="183"/>
      <c r="K41" s="321"/>
      <c r="L41" s="185"/>
      <c r="M41" s="185"/>
      <c r="N41" s="435">
        <f>N69</f>
        <v>0</v>
      </c>
      <c r="O41" s="435"/>
      <c r="P41" s="435"/>
      <c r="Q41" s="435"/>
      <c r="R41" s="183"/>
      <c r="S41" s="186">
        <f>S69</f>
        <v>0.002</v>
      </c>
      <c r="T41" s="186"/>
      <c r="U41" s="186">
        <f>U69</f>
        <v>281.20885</v>
      </c>
      <c r="V41" s="194"/>
    </row>
    <row r="42" spans="2:22" s="5" customFormat="1" ht="15">
      <c r="B42" s="61"/>
      <c r="C42" s="187"/>
      <c r="D42" s="188" t="s">
        <v>90</v>
      </c>
      <c r="E42" s="187"/>
      <c r="F42" s="187"/>
      <c r="G42" s="187"/>
      <c r="H42" s="187"/>
      <c r="I42" s="187"/>
      <c r="J42" s="187"/>
      <c r="K42" s="322"/>
      <c r="L42" s="189"/>
      <c r="M42" s="189"/>
      <c r="N42" s="426">
        <f>N145</f>
        <v>0</v>
      </c>
      <c r="O42" s="426"/>
      <c r="P42" s="426"/>
      <c r="Q42" s="426"/>
      <c r="R42" s="187"/>
      <c r="S42" s="190">
        <f>S145</f>
        <v>261.28619549999996</v>
      </c>
      <c r="T42" s="190"/>
      <c r="U42" s="190">
        <f>U145</f>
        <v>0</v>
      </c>
      <c r="V42" s="194"/>
    </row>
    <row r="43" spans="2:22" s="5" customFormat="1" ht="15">
      <c r="B43" s="61"/>
      <c r="C43" s="187"/>
      <c r="D43" s="188" t="s">
        <v>59</v>
      </c>
      <c r="E43" s="187"/>
      <c r="F43" s="187"/>
      <c r="G43" s="187"/>
      <c r="H43" s="187"/>
      <c r="I43" s="187"/>
      <c r="J43" s="187"/>
      <c r="K43" s="322"/>
      <c r="L43" s="189"/>
      <c r="M43" s="189"/>
      <c r="N43" s="426">
        <f>N188</f>
        <v>0</v>
      </c>
      <c r="O43" s="426"/>
      <c r="P43" s="426"/>
      <c r="Q43" s="426"/>
      <c r="R43" s="187"/>
      <c r="S43" s="190">
        <f>S188</f>
        <v>81.24893960000003</v>
      </c>
      <c r="T43" s="190"/>
      <c r="U43" s="190">
        <f>U188</f>
        <v>0</v>
      </c>
      <c r="V43" s="194"/>
    </row>
    <row r="44" spans="2:22" s="5" customFormat="1" ht="15">
      <c r="B44" s="61"/>
      <c r="C44" s="187"/>
      <c r="D44" s="188" t="s">
        <v>60</v>
      </c>
      <c r="E44" s="187"/>
      <c r="F44" s="187"/>
      <c r="G44" s="187"/>
      <c r="H44" s="187"/>
      <c r="I44" s="187"/>
      <c r="J44" s="187"/>
      <c r="K44" s="322"/>
      <c r="L44" s="189"/>
      <c r="M44" s="189"/>
      <c r="N44" s="426">
        <f>N238</f>
        <v>0</v>
      </c>
      <c r="O44" s="426"/>
      <c r="P44" s="426"/>
      <c r="Q44" s="426"/>
      <c r="R44" s="187"/>
      <c r="S44" s="190">
        <f>S238</f>
        <v>0</v>
      </c>
      <c r="T44" s="190"/>
      <c r="U44" s="190">
        <f>U238</f>
        <v>0</v>
      </c>
      <c r="V44" s="194"/>
    </row>
    <row r="45" spans="2:22" s="5" customFormat="1" ht="15">
      <c r="B45" s="61"/>
      <c r="C45" s="187"/>
      <c r="D45" s="188" t="s">
        <v>84</v>
      </c>
      <c r="E45" s="187"/>
      <c r="F45" s="187"/>
      <c r="G45" s="187"/>
      <c r="H45" s="187"/>
      <c r="I45" s="187"/>
      <c r="J45" s="187"/>
      <c r="K45" s="322"/>
      <c r="L45" s="189"/>
      <c r="M45" s="189"/>
      <c r="N45" s="426">
        <f>N245</f>
        <v>0</v>
      </c>
      <c r="O45" s="426"/>
      <c r="P45" s="426"/>
      <c r="Q45" s="426"/>
      <c r="R45" s="187"/>
      <c r="S45" s="190">
        <f>S245</f>
        <v>0</v>
      </c>
      <c r="T45" s="190"/>
      <c r="U45" s="190">
        <f>U245</f>
        <v>0</v>
      </c>
      <c r="V45" s="196"/>
    </row>
    <row r="46" spans="2:22" s="5" customFormat="1" ht="15">
      <c r="B46" s="61"/>
      <c r="C46" s="187"/>
      <c r="D46" s="188" t="str">
        <f>D247</f>
        <v>    VRN - Vedlejší rozpočtové náklady</v>
      </c>
      <c r="E46" s="187"/>
      <c r="F46" s="187"/>
      <c r="G46" s="187"/>
      <c r="H46" s="187"/>
      <c r="I46" s="187"/>
      <c r="J46" s="187"/>
      <c r="K46" s="322"/>
      <c r="L46" s="242"/>
      <c r="M46" s="242"/>
      <c r="N46" s="426">
        <f>N247</f>
        <v>0</v>
      </c>
      <c r="O46" s="426"/>
      <c r="P46" s="426"/>
      <c r="Q46" s="426"/>
      <c r="R46" s="187"/>
      <c r="S46" s="190">
        <f>S246</f>
        <v>0</v>
      </c>
      <c r="T46" s="190"/>
      <c r="U46" s="190">
        <f>U246</f>
        <v>0</v>
      </c>
      <c r="V46" s="196"/>
    </row>
    <row r="47" spans="2:22" s="167" customFormat="1" ht="7.5">
      <c r="B47" s="173"/>
      <c r="C47" s="169"/>
      <c r="D47" s="169"/>
      <c r="E47" s="169"/>
      <c r="F47" s="169"/>
      <c r="G47" s="169"/>
      <c r="H47" s="169"/>
      <c r="I47" s="169"/>
      <c r="J47" s="169"/>
      <c r="K47" s="313"/>
      <c r="L47" s="176"/>
      <c r="M47" s="176"/>
      <c r="N47" s="176"/>
      <c r="O47" s="176"/>
      <c r="P47" s="176"/>
      <c r="Q47" s="176"/>
      <c r="R47" s="169"/>
      <c r="S47" s="178"/>
      <c r="T47" s="178"/>
      <c r="U47" s="178"/>
      <c r="V47" s="197"/>
    </row>
    <row r="48" spans="2:22" s="1" customFormat="1" ht="18">
      <c r="B48" s="16"/>
      <c r="C48" s="60" t="s">
        <v>61</v>
      </c>
      <c r="D48" s="17"/>
      <c r="E48" s="17"/>
      <c r="F48" s="17"/>
      <c r="G48" s="17"/>
      <c r="H48" s="17"/>
      <c r="I48" s="17"/>
      <c r="J48" s="17"/>
      <c r="K48" s="314"/>
      <c r="L48" s="114"/>
      <c r="M48" s="114"/>
      <c r="N48" s="437">
        <v>0</v>
      </c>
      <c r="O48" s="383"/>
      <c r="P48" s="383"/>
      <c r="Q48" s="383"/>
      <c r="R48" s="17"/>
      <c r="S48" s="179">
        <v>0</v>
      </c>
      <c r="T48" s="99"/>
      <c r="U48" s="179">
        <v>0</v>
      </c>
      <c r="V48" s="198"/>
    </row>
    <row r="49" spans="2:22" s="167" customFormat="1" ht="7.5">
      <c r="B49" s="173"/>
      <c r="C49" s="169"/>
      <c r="D49" s="169"/>
      <c r="E49" s="169"/>
      <c r="F49" s="169"/>
      <c r="G49" s="169"/>
      <c r="H49" s="169"/>
      <c r="I49" s="169"/>
      <c r="J49" s="169"/>
      <c r="K49" s="313"/>
      <c r="L49" s="176"/>
      <c r="M49" s="176"/>
      <c r="N49" s="176"/>
      <c r="O49" s="176"/>
      <c r="P49" s="176"/>
      <c r="Q49" s="176"/>
      <c r="R49" s="169"/>
      <c r="S49" s="178"/>
      <c r="T49" s="178"/>
      <c r="U49" s="178"/>
      <c r="V49" s="197"/>
    </row>
    <row r="50" spans="2:22" s="1" customFormat="1" ht="18">
      <c r="B50" s="16"/>
      <c r="C50" s="200" t="s">
        <v>50</v>
      </c>
      <c r="D50" s="201"/>
      <c r="E50" s="201"/>
      <c r="F50" s="201"/>
      <c r="G50" s="201"/>
      <c r="H50" s="201"/>
      <c r="I50" s="201"/>
      <c r="J50" s="201"/>
      <c r="K50" s="323"/>
      <c r="L50" s="201"/>
      <c r="M50" s="202"/>
      <c r="N50" s="430">
        <f>ROUND(SUM(N40+N48),2)</f>
        <v>0</v>
      </c>
      <c r="O50" s="430"/>
      <c r="P50" s="430"/>
      <c r="Q50" s="430"/>
      <c r="R50" s="201"/>
      <c r="S50" s="203">
        <f>ROUND(SUM(S40+S48),2)</f>
        <v>342.54</v>
      </c>
      <c r="T50" s="203"/>
      <c r="U50" s="204">
        <f>ROUND(SUM(U40+U48),2)</f>
        <v>281.21</v>
      </c>
      <c r="V50" s="199"/>
    </row>
    <row r="51" spans="2:22" s="167" customFormat="1" ht="7.5">
      <c r="B51" s="171"/>
      <c r="C51" s="172"/>
      <c r="D51" s="172"/>
      <c r="E51" s="172"/>
      <c r="F51" s="172"/>
      <c r="G51" s="172"/>
      <c r="H51" s="172"/>
      <c r="I51" s="172"/>
      <c r="J51" s="172"/>
      <c r="K51" s="324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95"/>
    </row>
    <row r="55" spans="2:22" s="167" customFormat="1" ht="7.5">
      <c r="B55" s="164"/>
      <c r="C55" s="165"/>
      <c r="D55" s="165"/>
      <c r="E55" s="165"/>
      <c r="F55" s="165"/>
      <c r="G55" s="165"/>
      <c r="H55" s="165"/>
      <c r="I55" s="165"/>
      <c r="J55" s="165"/>
      <c r="K55" s="32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6"/>
    </row>
    <row r="56" spans="2:22" s="1" customFormat="1" ht="21">
      <c r="B56" s="90"/>
      <c r="C56" s="375" t="s">
        <v>62</v>
      </c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91"/>
    </row>
    <row r="57" spans="2:22" s="167" customFormat="1" ht="7.5">
      <c r="B57" s="168"/>
      <c r="C57" s="169"/>
      <c r="D57" s="169"/>
      <c r="E57" s="169"/>
      <c r="F57" s="169"/>
      <c r="G57" s="169"/>
      <c r="H57" s="169"/>
      <c r="I57" s="169"/>
      <c r="J57" s="169"/>
      <c r="K57" s="313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70"/>
    </row>
    <row r="58" spans="2:22" s="1" customFormat="1" ht="18">
      <c r="B58" s="90"/>
      <c r="C58" s="43" t="s">
        <v>6</v>
      </c>
      <c r="D58" s="17"/>
      <c r="E58" s="17"/>
      <c r="F58" s="384" t="str">
        <f>F5</f>
        <v>Oprava povrchu části chodníku ulice Pardubická, Chrudim</v>
      </c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17"/>
      <c r="R58" s="17"/>
      <c r="S58" s="17"/>
      <c r="T58" s="17"/>
      <c r="U58" s="17"/>
      <c r="V58" s="91"/>
    </row>
    <row r="59" spans="2:22" s="1" customFormat="1" ht="18">
      <c r="B59" s="16"/>
      <c r="C59" s="12" t="s">
        <v>103</v>
      </c>
      <c r="D59" s="17"/>
      <c r="E59" s="17"/>
      <c r="F59" s="379" t="str">
        <f>F6</f>
        <v>Oprava povrchu části chodníku ulice Pardubická, Chrudim</v>
      </c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17"/>
      <c r="R59" s="17"/>
      <c r="S59" s="17"/>
      <c r="T59" s="17"/>
      <c r="U59" s="17"/>
      <c r="V59" s="18"/>
    </row>
    <row r="60" spans="2:22" s="167" customFormat="1" ht="7.5">
      <c r="B60" s="168"/>
      <c r="C60" s="169"/>
      <c r="D60" s="169"/>
      <c r="E60" s="169"/>
      <c r="F60" s="169"/>
      <c r="G60" s="169"/>
      <c r="H60" s="169"/>
      <c r="I60" s="169"/>
      <c r="J60" s="169"/>
      <c r="K60" s="313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70"/>
    </row>
    <row r="61" spans="2:22" s="1" customFormat="1" ht="15">
      <c r="B61" s="90"/>
      <c r="C61" s="13" t="s">
        <v>9</v>
      </c>
      <c r="D61" s="17"/>
      <c r="E61" s="17"/>
      <c r="F61" s="11" t="str">
        <f>F8</f>
        <v> </v>
      </c>
      <c r="G61" s="17"/>
      <c r="H61" s="17"/>
      <c r="I61" s="17"/>
      <c r="J61" s="17"/>
      <c r="K61" s="319" t="s">
        <v>11</v>
      </c>
      <c r="L61" s="17"/>
      <c r="M61" s="436">
        <f>IF(N8="","",N8)</f>
        <v>44590</v>
      </c>
      <c r="N61" s="387"/>
      <c r="O61" s="387"/>
      <c r="P61" s="387"/>
      <c r="Q61" s="17"/>
      <c r="R61" s="17"/>
      <c r="S61" s="17"/>
      <c r="T61" s="17"/>
      <c r="U61" s="17"/>
      <c r="V61" s="91"/>
    </row>
    <row r="62" spans="2:22" s="167" customFormat="1" ht="7.5">
      <c r="B62" s="168"/>
      <c r="C62" s="169"/>
      <c r="D62" s="169"/>
      <c r="E62" s="169"/>
      <c r="F62" s="169"/>
      <c r="G62" s="169"/>
      <c r="H62" s="169"/>
      <c r="I62" s="169"/>
      <c r="J62" s="169"/>
      <c r="K62" s="313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70"/>
    </row>
    <row r="63" spans="2:22" s="1" customFormat="1" ht="15">
      <c r="B63" s="90"/>
      <c r="C63" s="13" t="s">
        <v>14</v>
      </c>
      <c r="D63" s="17"/>
      <c r="E63" s="17"/>
      <c r="F63" s="11"/>
      <c r="G63" s="17"/>
      <c r="H63" s="17"/>
      <c r="I63" s="17"/>
      <c r="J63" s="17"/>
      <c r="K63" s="319" t="s">
        <v>18</v>
      </c>
      <c r="L63" s="17"/>
      <c r="M63" s="434"/>
      <c r="N63" s="387"/>
      <c r="O63" s="387"/>
      <c r="P63" s="387"/>
      <c r="Q63" s="387"/>
      <c r="R63" s="17"/>
      <c r="S63" s="17"/>
      <c r="T63" s="17"/>
      <c r="U63" s="17"/>
      <c r="V63" s="91"/>
    </row>
    <row r="64" spans="2:22" s="1" customFormat="1" ht="15">
      <c r="B64" s="90"/>
      <c r="C64" s="13" t="s">
        <v>17</v>
      </c>
      <c r="D64" s="17"/>
      <c r="E64" s="17"/>
      <c r="F64" s="11"/>
      <c r="G64" s="17"/>
      <c r="H64" s="17"/>
      <c r="I64" s="17"/>
      <c r="J64" s="17"/>
      <c r="K64" s="319" t="s">
        <v>19</v>
      </c>
      <c r="L64" s="17"/>
      <c r="M64" s="434"/>
      <c r="N64" s="387"/>
      <c r="O64" s="387"/>
      <c r="P64" s="387"/>
      <c r="Q64" s="387"/>
      <c r="R64" s="17"/>
      <c r="S64" s="17"/>
      <c r="T64" s="17"/>
      <c r="U64" s="17"/>
      <c r="V64" s="91"/>
    </row>
    <row r="65" spans="2:22" s="167" customFormat="1" ht="7.5">
      <c r="B65" s="168"/>
      <c r="C65" s="169"/>
      <c r="D65" s="169"/>
      <c r="E65" s="169"/>
      <c r="F65" s="169"/>
      <c r="G65" s="169"/>
      <c r="H65" s="169"/>
      <c r="I65" s="169"/>
      <c r="J65" s="169"/>
      <c r="K65" s="313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70"/>
    </row>
    <row r="66" spans="2:29" s="6" customFormat="1" ht="29.25" customHeight="1">
      <c r="B66" s="92"/>
      <c r="C66" s="113" t="s">
        <v>63</v>
      </c>
      <c r="D66" s="113" t="s">
        <v>64</v>
      </c>
      <c r="E66" s="113" t="s">
        <v>38</v>
      </c>
      <c r="F66" s="441" t="s">
        <v>65</v>
      </c>
      <c r="G66" s="442"/>
      <c r="H66" s="442"/>
      <c r="I66" s="442"/>
      <c r="J66" s="113" t="s">
        <v>66</v>
      </c>
      <c r="K66" s="326" t="s">
        <v>67</v>
      </c>
      <c r="L66" s="441" t="s">
        <v>68</v>
      </c>
      <c r="M66" s="442"/>
      <c r="N66" s="441" t="s">
        <v>56</v>
      </c>
      <c r="O66" s="442"/>
      <c r="P66" s="442"/>
      <c r="Q66" s="442"/>
      <c r="R66" s="113" t="s">
        <v>69</v>
      </c>
      <c r="S66" s="113" t="s">
        <v>70</v>
      </c>
      <c r="T66" s="113" t="s">
        <v>71</v>
      </c>
      <c r="U66" s="113" t="s">
        <v>92</v>
      </c>
      <c r="V66" s="93"/>
      <c r="AC66" s="129" t="s">
        <v>86</v>
      </c>
    </row>
    <row r="67" spans="2:29" s="227" customFormat="1" ht="7.5">
      <c r="B67" s="224"/>
      <c r="C67" s="225"/>
      <c r="D67" s="225"/>
      <c r="E67" s="225"/>
      <c r="F67" s="225"/>
      <c r="G67" s="225"/>
      <c r="H67" s="225"/>
      <c r="I67" s="225"/>
      <c r="J67" s="225"/>
      <c r="K67" s="327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6"/>
      <c r="AC67" s="228"/>
    </row>
    <row r="68" spans="2:29" s="1" customFormat="1" ht="18">
      <c r="B68" s="90"/>
      <c r="C68" s="48" t="s">
        <v>52</v>
      </c>
      <c r="D68" s="17"/>
      <c r="E68" s="17"/>
      <c r="F68" s="17"/>
      <c r="G68" s="17"/>
      <c r="H68" s="17"/>
      <c r="I68" s="17"/>
      <c r="J68" s="17"/>
      <c r="K68" s="314"/>
      <c r="L68" s="17"/>
      <c r="M68" s="17"/>
      <c r="N68" s="454">
        <f>SUM(N70:Q144,N146:Q185,N189:Q237,N239:Q244,N246,N248:Q254)</f>
        <v>0</v>
      </c>
      <c r="O68" s="455"/>
      <c r="P68" s="455"/>
      <c r="Q68" s="455"/>
      <c r="R68" s="17"/>
      <c r="S68" s="115">
        <f>SUM(S70:S144,S146:S185,S189:S237,S239:S244,S246,S248:S254)</f>
        <v>342.53713510000006</v>
      </c>
      <c r="T68" s="17"/>
      <c r="U68" s="115">
        <f>SUM(U70:U144,U146:U185,U189:U237,U239:U244,U246,U248:U254)</f>
        <v>281.20885</v>
      </c>
      <c r="V68" s="91"/>
      <c r="AC68" s="130">
        <v>1.1</v>
      </c>
    </row>
    <row r="69" spans="2:22" s="89" customFormat="1" ht="15">
      <c r="B69" s="94"/>
      <c r="C69" s="87"/>
      <c r="D69" s="88" t="s">
        <v>58</v>
      </c>
      <c r="E69" s="88"/>
      <c r="F69" s="88"/>
      <c r="G69" s="88"/>
      <c r="H69" s="88"/>
      <c r="I69" s="88"/>
      <c r="J69" s="88"/>
      <c r="K69" s="328"/>
      <c r="L69" s="88"/>
      <c r="M69" s="88"/>
      <c r="N69" s="456">
        <f>SUM(N70:Q141)</f>
        <v>0</v>
      </c>
      <c r="O69" s="457"/>
      <c r="P69" s="457"/>
      <c r="Q69" s="457"/>
      <c r="R69" s="87"/>
      <c r="S69" s="116">
        <f>SUM(S70:S141)</f>
        <v>0.002</v>
      </c>
      <c r="T69" s="87"/>
      <c r="U69" s="123">
        <f>SUM(U70:U141)</f>
        <v>281.20885</v>
      </c>
      <c r="V69" s="95"/>
    </row>
    <row r="70" spans="2:29" s="1" customFormat="1" ht="17.25" customHeight="1">
      <c r="B70" s="65"/>
      <c r="C70" s="135">
        <v>1</v>
      </c>
      <c r="D70" s="135" t="s">
        <v>72</v>
      </c>
      <c r="E70" s="136" t="s">
        <v>105</v>
      </c>
      <c r="F70" s="411" t="s">
        <v>106</v>
      </c>
      <c r="G70" s="412"/>
      <c r="H70" s="412"/>
      <c r="I70" s="412"/>
      <c r="J70" s="137" t="s">
        <v>73</v>
      </c>
      <c r="K70" s="329">
        <f>K75</f>
        <v>377.46000000000004</v>
      </c>
      <c r="L70" s="413"/>
      <c r="M70" s="414"/>
      <c r="N70" s="402">
        <f>ROUND(L70*K70,2)</f>
        <v>0</v>
      </c>
      <c r="O70" s="402"/>
      <c r="P70" s="402"/>
      <c r="Q70" s="402"/>
      <c r="R70" s="138">
        <v>0</v>
      </c>
      <c r="S70" s="139">
        <f>R70*K70</f>
        <v>0</v>
      </c>
      <c r="T70" s="138">
        <v>0.11</v>
      </c>
      <c r="U70" s="139">
        <f>T70*K70</f>
        <v>41.5206</v>
      </c>
      <c r="V70" s="91"/>
      <c r="X70" s="289" t="s">
        <v>111</v>
      </c>
      <c r="Z70" s="269">
        <v>50</v>
      </c>
      <c r="AA70" s="403">
        <f>SUM(Z70:Z71)</f>
        <v>300</v>
      </c>
      <c r="AC70" s="106"/>
    </row>
    <row r="71" spans="2:29" s="1" customFormat="1" ht="17.25" customHeight="1">
      <c r="B71" s="65"/>
      <c r="C71" s="140">
        <v>2</v>
      </c>
      <c r="D71" s="140" t="s">
        <v>72</v>
      </c>
      <c r="E71" s="141" t="s">
        <v>107</v>
      </c>
      <c r="F71" s="405" t="s">
        <v>114</v>
      </c>
      <c r="G71" s="406"/>
      <c r="H71" s="406"/>
      <c r="I71" s="406"/>
      <c r="J71" s="142" t="s">
        <v>73</v>
      </c>
      <c r="K71" s="330">
        <f>K70</f>
        <v>377.46000000000004</v>
      </c>
      <c r="L71" s="407"/>
      <c r="M71" s="408"/>
      <c r="N71" s="409">
        <f>ROUND(L71*K71,2)</f>
        <v>0</v>
      </c>
      <c r="O71" s="409"/>
      <c r="P71" s="409"/>
      <c r="Q71" s="409"/>
      <c r="R71" s="143">
        <v>0</v>
      </c>
      <c r="S71" s="144">
        <f>R71*K71</f>
        <v>0</v>
      </c>
      <c r="T71" s="143">
        <v>0.55</v>
      </c>
      <c r="U71" s="144">
        <f>T71*K71</f>
        <v>207.60300000000004</v>
      </c>
      <c r="V71" s="91"/>
      <c r="X71" s="163" t="s">
        <v>88</v>
      </c>
      <c r="Z71" s="271">
        <v>250</v>
      </c>
      <c r="AA71" s="404"/>
      <c r="AC71" s="107"/>
    </row>
    <row r="72" spans="2:29" s="1" customFormat="1" ht="13.5">
      <c r="B72" s="65"/>
      <c r="C72" s="145"/>
      <c r="D72" s="145"/>
      <c r="E72" s="240" t="s">
        <v>108</v>
      </c>
      <c r="F72" s="281"/>
      <c r="G72" s="282"/>
      <c r="H72" s="282"/>
      <c r="I72" s="282"/>
      <c r="J72" s="239"/>
      <c r="K72" s="331">
        <v>96.23</v>
      </c>
      <c r="L72" s="147"/>
      <c r="M72" s="148"/>
      <c r="N72" s="149"/>
      <c r="O72" s="149"/>
      <c r="P72" s="149"/>
      <c r="Q72" s="149"/>
      <c r="R72" s="150"/>
      <c r="S72" s="151"/>
      <c r="T72" s="150"/>
      <c r="U72" s="151"/>
      <c r="V72" s="67"/>
      <c r="W72" s="62"/>
      <c r="X72" s="99"/>
      <c r="Y72" s="62"/>
      <c r="Z72" s="82"/>
      <c r="AC72" s="107"/>
    </row>
    <row r="73" spans="2:29" s="1" customFormat="1" ht="13.5">
      <c r="B73" s="65"/>
      <c r="C73" s="145"/>
      <c r="D73" s="145"/>
      <c r="E73" s="240" t="s">
        <v>109</v>
      </c>
      <c r="F73" s="281"/>
      <c r="G73" s="282"/>
      <c r="H73" s="282"/>
      <c r="I73" s="282"/>
      <c r="J73" s="239"/>
      <c r="K73" s="331">
        <v>286.23</v>
      </c>
      <c r="L73" s="147"/>
      <c r="M73" s="148"/>
      <c r="N73" s="149"/>
      <c r="O73" s="149"/>
      <c r="P73" s="149"/>
      <c r="Q73" s="149"/>
      <c r="R73" s="150"/>
      <c r="S73" s="151"/>
      <c r="T73" s="150"/>
      <c r="U73" s="151"/>
      <c r="V73" s="67"/>
      <c r="W73" s="62"/>
      <c r="X73" s="99"/>
      <c r="Y73" s="62"/>
      <c r="Z73" s="82"/>
      <c r="AC73" s="107"/>
    </row>
    <row r="74" spans="2:29" s="1" customFormat="1" ht="13.5">
      <c r="B74" s="65"/>
      <c r="C74" s="145"/>
      <c r="D74" s="145"/>
      <c r="E74" s="240" t="s">
        <v>110</v>
      </c>
      <c r="F74" s="281"/>
      <c r="G74" s="282"/>
      <c r="H74" s="282"/>
      <c r="I74" s="282"/>
      <c r="J74" s="239"/>
      <c r="K74" s="331">
        <f>-K79</f>
        <v>-5</v>
      </c>
      <c r="L74" s="147"/>
      <c r="M74" s="148"/>
      <c r="N74" s="149"/>
      <c r="O74" s="149"/>
      <c r="P74" s="149"/>
      <c r="Q74" s="149"/>
      <c r="R74" s="150"/>
      <c r="S74" s="151"/>
      <c r="T74" s="150"/>
      <c r="U74" s="151"/>
      <c r="V74" s="67"/>
      <c r="W74" s="62"/>
      <c r="X74" s="99"/>
      <c r="Y74" s="62"/>
      <c r="Z74" s="82"/>
      <c r="AC74" s="107"/>
    </row>
    <row r="75" spans="2:29" s="1" customFormat="1" ht="13.5">
      <c r="B75" s="65"/>
      <c r="C75" s="145"/>
      <c r="D75" s="145"/>
      <c r="E75" s="152"/>
      <c r="F75" s="153"/>
      <c r="G75" s="154"/>
      <c r="H75" s="154"/>
      <c r="I75" s="154"/>
      <c r="J75" s="155"/>
      <c r="K75" s="332">
        <f>SUM(K72:K74)</f>
        <v>377.46000000000004</v>
      </c>
      <c r="L75" s="147"/>
      <c r="M75" s="148"/>
      <c r="N75" s="149"/>
      <c r="O75" s="149"/>
      <c r="P75" s="149"/>
      <c r="Q75" s="149"/>
      <c r="R75" s="150"/>
      <c r="S75" s="151"/>
      <c r="T75" s="150"/>
      <c r="U75" s="151"/>
      <c r="V75" s="67"/>
      <c r="W75" s="62"/>
      <c r="X75" s="99"/>
      <c r="Y75" s="62"/>
      <c r="Z75" s="82"/>
      <c r="AC75" s="107"/>
    </row>
    <row r="76" spans="2:29" s="1" customFormat="1" ht="17.25" customHeight="1">
      <c r="B76" s="65"/>
      <c r="C76" s="135">
        <v>3</v>
      </c>
      <c r="D76" s="135" t="s">
        <v>72</v>
      </c>
      <c r="E76" s="136" t="s">
        <v>112</v>
      </c>
      <c r="F76" s="411" t="s">
        <v>113</v>
      </c>
      <c r="G76" s="412"/>
      <c r="H76" s="412"/>
      <c r="I76" s="412"/>
      <c r="J76" s="137" t="s">
        <v>73</v>
      </c>
      <c r="K76" s="329">
        <f>K79</f>
        <v>5</v>
      </c>
      <c r="L76" s="413"/>
      <c r="M76" s="414"/>
      <c r="N76" s="402">
        <f>ROUND(L76*K76,2)</f>
        <v>0</v>
      </c>
      <c r="O76" s="402"/>
      <c r="P76" s="402"/>
      <c r="Q76" s="402"/>
      <c r="R76" s="138">
        <v>0</v>
      </c>
      <c r="S76" s="139">
        <f>R76*K76</f>
        <v>0</v>
      </c>
      <c r="T76" s="138">
        <v>0.24</v>
      </c>
      <c r="U76" s="139">
        <f>T76*K76</f>
        <v>1.2</v>
      </c>
      <c r="V76" s="91"/>
      <c r="X76" s="162" t="s">
        <v>89</v>
      </c>
      <c r="Z76" s="269">
        <v>100</v>
      </c>
      <c r="AA76" s="403">
        <f>SUM(Z76:Z77)</f>
        <v>300</v>
      </c>
      <c r="AC76" s="107"/>
    </row>
    <row r="77" spans="2:29" s="1" customFormat="1" ht="17.25" customHeight="1">
      <c r="B77" s="65"/>
      <c r="C77" s="140">
        <v>4</v>
      </c>
      <c r="D77" s="140" t="s">
        <v>72</v>
      </c>
      <c r="E77" s="141" t="s">
        <v>115</v>
      </c>
      <c r="F77" s="405" t="s">
        <v>116</v>
      </c>
      <c r="G77" s="406"/>
      <c r="H77" s="406"/>
      <c r="I77" s="406"/>
      <c r="J77" s="142" t="s">
        <v>73</v>
      </c>
      <c r="K77" s="330">
        <f>K76</f>
        <v>5</v>
      </c>
      <c r="L77" s="407"/>
      <c r="M77" s="408"/>
      <c r="N77" s="409">
        <f>ROUND(L77*K77,2)</f>
        <v>0</v>
      </c>
      <c r="O77" s="409"/>
      <c r="P77" s="409"/>
      <c r="Q77" s="409"/>
      <c r="R77" s="143">
        <v>0</v>
      </c>
      <c r="S77" s="144">
        <f>R77*K77</f>
        <v>0</v>
      </c>
      <c r="T77" s="143">
        <v>0.44</v>
      </c>
      <c r="U77" s="144">
        <f>T77*K77</f>
        <v>2.2</v>
      </c>
      <c r="V77" s="91"/>
      <c r="X77" s="163" t="s">
        <v>88</v>
      </c>
      <c r="Z77" s="271">
        <v>200</v>
      </c>
      <c r="AA77" s="404"/>
      <c r="AC77" s="107"/>
    </row>
    <row r="78" spans="2:29" s="1" customFormat="1" ht="13.5">
      <c r="B78" s="65"/>
      <c r="C78" s="145"/>
      <c r="D78" s="145"/>
      <c r="E78" s="240" t="s">
        <v>109</v>
      </c>
      <c r="F78" s="281"/>
      <c r="G78" s="282"/>
      <c r="H78" s="282"/>
      <c r="I78" s="282"/>
      <c r="J78" s="239"/>
      <c r="K78" s="331">
        <f>5*1</f>
        <v>5</v>
      </c>
      <c r="L78" s="147"/>
      <c r="M78" s="148"/>
      <c r="N78" s="149"/>
      <c r="O78" s="149"/>
      <c r="P78" s="149"/>
      <c r="Q78" s="149"/>
      <c r="R78" s="150"/>
      <c r="S78" s="151"/>
      <c r="T78" s="150"/>
      <c r="U78" s="151"/>
      <c r="V78" s="67"/>
      <c r="W78" s="62"/>
      <c r="X78" s="99"/>
      <c r="Y78" s="62"/>
      <c r="Z78" s="82"/>
      <c r="AC78" s="107"/>
    </row>
    <row r="79" spans="2:29" s="1" customFormat="1" ht="13.5">
      <c r="B79" s="65"/>
      <c r="C79" s="145"/>
      <c r="D79" s="145"/>
      <c r="E79" s="152"/>
      <c r="F79" s="153"/>
      <c r="G79" s="154"/>
      <c r="H79" s="154"/>
      <c r="I79" s="154"/>
      <c r="J79" s="155"/>
      <c r="K79" s="332">
        <f>SUM(K78:K78)</f>
        <v>5</v>
      </c>
      <c r="L79" s="147"/>
      <c r="M79" s="148"/>
      <c r="N79" s="149"/>
      <c r="O79" s="149"/>
      <c r="P79" s="149"/>
      <c r="Q79" s="149"/>
      <c r="R79" s="150"/>
      <c r="S79" s="151"/>
      <c r="T79" s="150"/>
      <c r="U79" s="151"/>
      <c r="V79" s="67"/>
      <c r="W79" s="62"/>
      <c r="X79" s="99"/>
      <c r="Y79" s="62"/>
      <c r="Z79" s="82"/>
      <c r="AC79" s="107"/>
    </row>
    <row r="80" spans="2:29" s="1" customFormat="1" ht="17.25" customHeight="1">
      <c r="B80" s="65"/>
      <c r="C80" s="135">
        <v>5</v>
      </c>
      <c r="D80" s="135" t="s">
        <v>72</v>
      </c>
      <c r="E80" s="136" t="s">
        <v>117</v>
      </c>
      <c r="F80" s="411" t="s">
        <v>118</v>
      </c>
      <c r="G80" s="412"/>
      <c r="H80" s="412"/>
      <c r="I80" s="412"/>
      <c r="J80" s="137" t="s">
        <v>73</v>
      </c>
      <c r="K80" s="329">
        <f>K84</f>
        <v>8.5</v>
      </c>
      <c r="L80" s="413"/>
      <c r="M80" s="414"/>
      <c r="N80" s="402">
        <f>ROUND(L80*K80,2)</f>
        <v>0</v>
      </c>
      <c r="O80" s="402"/>
      <c r="P80" s="402"/>
      <c r="Q80" s="402"/>
      <c r="R80" s="138">
        <v>0</v>
      </c>
      <c r="S80" s="139">
        <f>R80*K80</f>
        <v>0</v>
      </c>
      <c r="T80" s="138">
        <v>0.138</v>
      </c>
      <c r="U80" s="139">
        <f>T80*K80</f>
        <v>1.173</v>
      </c>
      <c r="V80" s="91"/>
      <c r="X80" s="294" t="s">
        <v>120</v>
      </c>
      <c r="Z80" s="269">
        <v>50</v>
      </c>
      <c r="AA80" s="403">
        <f>SUM(Z80:Z81)</f>
        <v>300</v>
      </c>
      <c r="AC80" s="107"/>
    </row>
    <row r="81" spans="2:29" s="1" customFormat="1" ht="17.25" customHeight="1">
      <c r="B81" s="65"/>
      <c r="C81" s="140">
        <v>6</v>
      </c>
      <c r="D81" s="140" t="s">
        <v>72</v>
      </c>
      <c r="E81" s="141" t="s">
        <v>107</v>
      </c>
      <c r="F81" s="405" t="s">
        <v>114</v>
      </c>
      <c r="G81" s="406"/>
      <c r="H81" s="406"/>
      <c r="I81" s="406"/>
      <c r="J81" s="142" t="s">
        <v>73</v>
      </c>
      <c r="K81" s="330">
        <f>K80</f>
        <v>8.5</v>
      </c>
      <c r="L81" s="407"/>
      <c r="M81" s="408"/>
      <c r="N81" s="409">
        <f>ROUND(L81*K81,2)</f>
        <v>0</v>
      </c>
      <c r="O81" s="409"/>
      <c r="P81" s="409"/>
      <c r="Q81" s="409"/>
      <c r="R81" s="143">
        <v>0</v>
      </c>
      <c r="S81" s="144">
        <f>R81*K81</f>
        <v>0</v>
      </c>
      <c r="T81" s="143">
        <v>0.55</v>
      </c>
      <c r="U81" s="144">
        <f>T81*K81</f>
        <v>4.675000000000001</v>
      </c>
      <c r="V81" s="91"/>
      <c r="X81" s="163" t="s">
        <v>88</v>
      </c>
      <c r="Z81" s="271">
        <v>250</v>
      </c>
      <c r="AA81" s="404"/>
      <c r="AC81" s="107"/>
    </row>
    <row r="82" spans="2:29" s="1" customFormat="1" ht="13.5">
      <c r="B82" s="65"/>
      <c r="C82" s="145"/>
      <c r="D82" s="145"/>
      <c r="E82" s="240" t="s">
        <v>108</v>
      </c>
      <c r="F82" s="281"/>
      <c r="G82" s="282"/>
      <c r="H82" s="282"/>
      <c r="I82" s="282"/>
      <c r="J82" s="239"/>
      <c r="K82" s="331">
        <v>2</v>
      </c>
      <c r="L82" s="147"/>
      <c r="M82" s="148"/>
      <c r="N82" s="149"/>
      <c r="O82" s="149"/>
      <c r="P82" s="149"/>
      <c r="Q82" s="149"/>
      <c r="R82" s="150"/>
      <c r="S82" s="151"/>
      <c r="T82" s="150"/>
      <c r="U82" s="151"/>
      <c r="V82" s="67"/>
      <c r="W82" s="62"/>
      <c r="X82" s="99"/>
      <c r="Y82" s="62"/>
      <c r="Z82" s="82"/>
      <c r="AC82" s="107"/>
    </row>
    <row r="83" spans="2:29" s="1" customFormat="1" ht="13.5">
      <c r="B83" s="65"/>
      <c r="C83" s="145"/>
      <c r="D83" s="145"/>
      <c r="E83" s="240" t="s">
        <v>109</v>
      </c>
      <c r="F83" s="281"/>
      <c r="G83" s="282"/>
      <c r="H83" s="282"/>
      <c r="I83" s="282"/>
      <c r="J83" s="239"/>
      <c r="K83" s="331">
        <v>6.5</v>
      </c>
      <c r="L83" s="147"/>
      <c r="M83" s="148"/>
      <c r="N83" s="149"/>
      <c r="O83" s="149"/>
      <c r="P83" s="149"/>
      <c r="Q83" s="149"/>
      <c r="R83" s="150"/>
      <c r="S83" s="151"/>
      <c r="T83" s="150"/>
      <c r="U83" s="151"/>
      <c r="V83" s="67"/>
      <c r="W83" s="62"/>
      <c r="X83" s="99"/>
      <c r="Y83" s="62"/>
      <c r="Z83" s="82"/>
      <c r="AC83" s="107"/>
    </row>
    <row r="84" spans="2:29" s="1" customFormat="1" ht="13.5">
      <c r="B84" s="65"/>
      <c r="C84" s="145"/>
      <c r="D84" s="145"/>
      <c r="E84" s="152"/>
      <c r="F84" s="153"/>
      <c r="G84" s="154"/>
      <c r="H84" s="154"/>
      <c r="I84" s="154"/>
      <c r="J84" s="155"/>
      <c r="K84" s="332">
        <f>SUM(K82:K83)</f>
        <v>8.5</v>
      </c>
      <c r="L84" s="147"/>
      <c r="M84" s="148"/>
      <c r="N84" s="149"/>
      <c r="O84" s="149"/>
      <c r="P84" s="149"/>
      <c r="Q84" s="149"/>
      <c r="R84" s="150"/>
      <c r="S84" s="151"/>
      <c r="T84" s="150"/>
      <c r="U84" s="151"/>
      <c r="V84" s="67"/>
      <c r="W84" s="62"/>
      <c r="X84" s="99"/>
      <c r="Y84" s="62"/>
      <c r="Z84" s="82"/>
      <c r="AC84" s="107"/>
    </row>
    <row r="85" spans="2:29" s="1" customFormat="1" ht="17.25" customHeight="1">
      <c r="B85" s="65"/>
      <c r="C85" s="135">
        <v>7</v>
      </c>
      <c r="D85" s="135" t="s">
        <v>72</v>
      </c>
      <c r="E85" s="136" t="s">
        <v>123</v>
      </c>
      <c r="F85" s="411" t="s">
        <v>160</v>
      </c>
      <c r="G85" s="412"/>
      <c r="H85" s="412"/>
      <c r="I85" s="412"/>
      <c r="J85" s="137" t="s">
        <v>73</v>
      </c>
      <c r="K85" s="329">
        <f>K88</f>
        <v>2</v>
      </c>
      <c r="L85" s="413"/>
      <c r="M85" s="414"/>
      <c r="N85" s="402">
        <f>ROUND(L85*K85,2)</f>
        <v>0</v>
      </c>
      <c r="O85" s="402"/>
      <c r="P85" s="402"/>
      <c r="Q85" s="402"/>
      <c r="R85" s="138">
        <v>0</v>
      </c>
      <c r="S85" s="139">
        <f>R85*K85</f>
        <v>0</v>
      </c>
      <c r="T85" s="138">
        <v>0.2</v>
      </c>
      <c r="U85" s="139">
        <f>T85*K85</f>
        <v>0.4</v>
      </c>
      <c r="V85" s="91"/>
      <c r="X85" s="294" t="s">
        <v>142</v>
      </c>
      <c r="Z85" s="269">
        <v>100</v>
      </c>
      <c r="AA85" s="403">
        <f>SUM(Z85:Z86)</f>
        <v>300</v>
      </c>
      <c r="AC85" s="107"/>
    </row>
    <row r="86" spans="2:29" s="1" customFormat="1" ht="17.25" customHeight="1">
      <c r="B86" s="65"/>
      <c r="C86" s="140">
        <v>8</v>
      </c>
      <c r="D86" s="140" t="s">
        <v>72</v>
      </c>
      <c r="E86" s="141" t="s">
        <v>115</v>
      </c>
      <c r="F86" s="405" t="s">
        <v>116</v>
      </c>
      <c r="G86" s="406"/>
      <c r="H86" s="406"/>
      <c r="I86" s="406"/>
      <c r="J86" s="142" t="s">
        <v>73</v>
      </c>
      <c r="K86" s="330">
        <f>K85</f>
        <v>2</v>
      </c>
      <c r="L86" s="407"/>
      <c r="M86" s="408"/>
      <c r="N86" s="409">
        <f>ROUND(L86*K86,2)</f>
        <v>0</v>
      </c>
      <c r="O86" s="409"/>
      <c r="P86" s="409"/>
      <c r="Q86" s="409"/>
      <c r="R86" s="143">
        <v>0</v>
      </c>
      <c r="S86" s="144">
        <f>R86*K86</f>
        <v>0</v>
      </c>
      <c r="T86" s="143">
        <v>0.44</v>
      </c>
      <c r="U86" s="144">
        <f>T86*K86</f>
        <v>0.88</v>
      </c>
      <c r="V86" s="91"/>
      <c r="X86" s="163" t="s">
        <v>88</v>
      </c>
      <c r="Z86" s="271">
        <v>200</v>
      </c>
      <c r="AA86" s="404"/>
      <c r="AC86" s="107"/>
    </row>
    <row r="87" spans="2:29" s="1" customFormat="1" ht="13.5">
      <c r="B87" s="65"/>
      <c r="C87" s="145"/>
      <c r="D87" s="145"/>
      <c r="E87" s="240" t="s">
        <v>109</v>
      </c>
      <c r="F87" s="281"/>
      <c r="G87" s="282"/>
      <c r="H87" s="282"/>
      <c r="I87" s="282"/>
      <c r="J87" s="239"/>
      <c r="K87" s="331">
        <v>2</v>
      </c>
      <c r="L87" s="147"/>
      <c r="M87" s="148"/>
      <c r="N87" s="149"/>
      <c r="O87" s="149"/>
      <c r="P87" s="149"/>
      <c r="Q87" s="149"/>
      <c r="R87" s="150"/>
      <c r="S87" s="151"/>
      <c r="T87" s="150"/>
      <c r="U87" s="151"/>
      <c r="V87" s="67"/>
      <c r="W87" s="62"/>
      <c r="X87" s="99"/>
      <c r="Y87" s="62"/>
      <c r="Z87" s="82"/>
      <c r="AC87" s="107"/>
    </row>
    <row r="88" spans="2:29" s="1" customFormat="1" ht="13.5">
      <c r="B88" s="65"/>
      <c r="C88" s="145"/>
      <c r="D88" s="145"/>
      <c r="E88" s="152"/>
      <c r="F88" s="153"/>
      <c r="G88" s="154"/>
      <c r="H88" s="154"/>
      <c r="I88" s="154"/>
      <c r="J88" s="155"/>
      <c r="K88" s="332">
        <f>SUM(K87:K87)</f>
        <v>2</v>
      </c>
      <c r="L88" s="147"/>
      <c r="M88" s="148"/>
      <c r="N88" s="149"/>
      <c r="O88" s="149"/>
      <c r="P88" s="149"/>
      <c r="Q88" s="149"/>
      <c r="R88" s="150"/>
      <c r="S88" s="151"/>
      <c r="T88" s="150"/>
      <c r="U88" s="151"/>
      <c r="V88" s="67"/>
      <c r="W88" s="62"/>
      <c r="X88" s="99"/>
      <c r="Y88" s="62"/>
      <c r="Z88" s="82"/>
      <c r="AC88" s="107"/>
    </row>
    <row r="89" spans="2:29" s="1" customFormat="1" ht="17.25" customHeight="1">
      <c r="B89" s="65"/>
      <c r="C89" s="135">
        <v>9</v>
      </c>
      <c r="D89" s="135" t="s">
        <v>72</v>
      </c>
      <c r="E89" s="136" t="s">
        <v>121</v>
      </c>
      <c r="F89" s="411" t="s">
        <v>122</v>
      </c>
      <c r="G89" s="412"/>
      <c r="H89" s="412"/>
      <c r="I89" s="412"/>
      <c r="J89" s="137" t="s">
        <v>73</v>
      </c>
      <c r="K89" s="329">
        <f>K93</f>
        <v>2.85</v>
      </c>
      <c r="L89" s="413"/>
      <c r="M89" s="414"/>
      <c r="N89" s="402">
        <f>ROUND(L89*K89,2)</f>
        <v>0</v>
      </c>
      <c r="O89" s="402"/>
      <c r="P89" s="402"/>
      <c r="Q89" s="402"/>
      <c r="R89" s="138">
        <v>0</v>
      </c>
      <c r="S89" s="139">
        <f>R89*K89</f>
        <v>0</v>
      </c>
      <c r="T89" s="138">
        <v>0.225</v>
      </c>
      <c r="U89" s="139">
        <f>T89*K89</f>
        <v>0.64125</v>
      </c>
      <c r="V89" s="91"/>
      <c r="X89" s="294" t="s">
        <v>140</v>
      </c>
      <c r="Z89" s="269">
        <v>100</v>
      </c>
      <c r="AA89" s="403">
        <f>SUM(Z89:Z90)</f>
        <v>350</v>
      </c>
      <c r="AC89" s="107"/>
    </row>
    <row r="90" spans="2:29" s="1" customFormat="1" ht="17.25" customHeight="1">
      <c r="B90" s="65"/>
      <c r="C90" s="140">
        <v>10</v>
      </c>
      <c r="D90" s="140" t="s">
        <v>72</v>
      </c>
      <c r="E90" s="141" t="s">
        <v>107</v>
      </c>
      <c r="F90" s="405" t="s">
        <v>114</v>
      </c>
      <c r="G90" s="406"/>
      <c r="H90" s="406"/>
      <c r="I90" s="406"/>
      <c r="J90" s="142" t="s">
        <v>73</v>
      </c>
      <c r="K90" s="330">
        <f>K89</f>
        <v>2.85</v>
      </c>
      <c r="L90" s="407"/>
      <c r="M90" s="408"/>
      <c r="N90" s="409">
        <f>ROUND(L90*K90,2)</f>
        <v>0</v>
      </c>
      <c r="O90" s="409"/>
      <c r="P90" s="409"/>
      <c r="Q90" s="409"/>
      <c r="R90" s="143">
        <v>0</v>
      </c>
      <c r="S90" s="144">
        <f>R90*K90</f>
        <v>0</v>
      </c>
      <c r="T90" s="143">
        <v>0.55</v>
      </c>
      <c r="U90" s="144">
        <f>T90*K90</f>
        <v>1.5675000000000001</v>
      </c>
      <c r="V90" s="91"/>
      <c r="X90" s="163" t="s">
        <v>88</v>
      </c>
      <c r="Z90" s="271">
        <v>250</v>
      </c>
      <c r="AA90" s="404"/>
      <c r="AC90" s="107"/>
    </row>
    <row r="91" spans="2:29" s="1" customFormat="1" ht="13.5">
      <c r="B91" s="65"/>
      <c r="C91" s="145"/>
      <c r="D91" s="145"/>
      <c r="E91" s="240" t="s">
        <v>108</v>
      </c>
      <c r="F91" s="281"/>
      <c r="G91" s="282"/>
      <c r="H91" s="282"/>
      <c r="I91" s="282"/>
      <c r="J91" s="239"/>
      <c r="K91" s="331">
        <v>0.85</v>
      </c>
      <c r="L91" s="147"/>
      <c r="M91" s="148"/>
      <c r="N91" s="149"/>
      <c r="O91" s="149"/>
      <c r="P91" s="149"/>
      <c r="Q91" s="149"/>
      <c r="R91" s="150"/>
      <c r="S91" s="151"/>
      <c r="T91" s="150"/>
      <c r="U91" s="151"/>
      <c r="V91" s="67"/>
      <c r="W91" s="62"/>
      <c r="X91" s="99"/>
      <c r="Y91" s="62"/>
      <c r="Z91" s="82"/>
      <c r="AC91" s="107"/>
    </row>
    <row r="92" spans="2:29" s="1" customFormat="1" ht="13.5">
      <c r="B92" s="65"/>
      <c r="C92" s="145"/>
      <c r="D92" s="145"/>
      <c r="E92" s="240" t="s">
        <v>109</v>
      </c>
      <c r="F92" s="281"/>
      <c r="G92" s="282"/>
      <c r="H92" s="282"/>
      <c r="I92" s="282"/>
      <c r="J92" s="239"/>
      <c r="K92" s="331">
        <v>2</v>
      </c>
      <c r="L92" s="147"/>
      <c r="M92" s="148"/>
      <c r="N92" s="149"/>
      <c r="O92" s="149"/>
      <c r="P92" s="149"/>
      <c r="Q92" s="149"/>
      <c r="R92" s="150"/>
      <c r="S92" s="151"/>
      <c r="T92" s="150"/>
      <c r="U92" s="151"/>
      <c r="V92" s="67"/>
      <c r="W92" s="62"/>
      <c r="X92" s="99"/>
      <c r="Y92" s="62"/>
      <c r="Z92" s="82"/>
      <c r="AC92" s="107"/>
    </row>
    <row r="93" spans="2:29" s="1" customFormat="1" ht="13.5">
      <c r="B93" s="65"/>
      <c r="C93" s="145"/>
      <c r="D93" s="145"/>
      <c r="E93" s="152"/>
      <c r="F93" s="153"/>
      <c r="G93" s="154"/>
      <c r="H93" s="154"/>
      <c r="I93" s="154"/>
      <c r="J93" s="155"/>
      <c r="K93" s="332">
        <f>SUM(K91:K92)</f>
        <v>2.85</v>
      </c>
      <c r="L93" s="147"/>
      <c r="M93" s="148"/>
      <c r="N93" s="149"/>
      <c r="O93" s="149"/>
      <c r="P93" s="149"/>
      <c r="Q93" s="149"/>
      <c r="R93" s="150"/>
      <c r="S93" s="151"/>
      <c r="T93" s="150"/>
      <c r="U93" s="151"/>
      <c r="V93" s="67"/>
      <c r="W93" s="62"/>
      <c r="X93" s="99"/>
      <c r="Y93" s="62"/>
      <c r="Z93" s="82"/>
      <c r="AC93" s="107"/>
    </row>
    <row r="94" spans="2:29" s="1" customFormat="1" ht="17.25" customHeight="1">
      <c r="B94" s="65"/>
      <c r="C94" s="135">
        <v>11</v>
      </c>
      <c r="D94" s="135" t="s">
        <v>72</v>
      </c>
      <c r="E94" s="136" t="s">
        <v>124</v>
      </c>
      <c r="F94" s="411" t="s">
        <v>125</v>
      </c>
      <c r="G94" s="412"/>
      <c r="H94" s="412"/>
      <c r="I94" s="412"/>
      <c r="J94" s="137" t="s">
        <v>73</v>
      </c>
      <c r="K94" s="329">
        <f>K97</f>
        <v>1</v>
      </c>
      <c r="L94" s="413"/>
      <c r="M94" s="414"/>
      <c r="N94" s="402">
        <f>ROUND(L94*K94,2)</f>
        <v>0</v>
      </c>
      <c r="O94" s="402"/>
      <c r="P94" s="402"/>
      <c r="Q94" s="402"/>
      <c r="R94" s="138">
        <v>0</v>
      </c>
      <c r="S94" s="139">
        <f>R94*K94</f>
        <v>0</v>
      </c>
      <c r="T94" s="138">
        <v>0.22</v>
      </c>
      <c r="U94" s="139">
        <f>T94*K94</f>
        <v>0.22</v>
      </c>
      <c r="V94" s="91"/>
      <c r="X94" s="289" t="s">
        <v>111</v>
      </c>
      <c r="Z94" s="269">
        <v>100</v>
      </c>
      <c r="AA94" s="403">
        <f>SUM(Z94:Z95)</f>
        <v>300</v>
      </c>
      <c r="AC94" s="107"/>
    </row>
    <row r="95" spans="2:29" s="1" customFormat="1" ht="17.25" customHeight="1">
      <c r="B95" s="65"/>
      <c r="C95" s="140">
        <v>12</v>
      </c>
      <c r="D95" s="140" t="s">
        <v>72</v>
      </c>
      <c r="E95" s="141" t="s">
        <v>115</v>
      </c>
      <c r="F95" s="405" t="s">
        <v>116</v>
      </c>
      <c r="G95" s="406"/>
      <c r="H95" s="406"/>
      <c r="I95" s="406"/>
      <c r="J95" s="142" t="s">
        <v>73</v>
      </c>
      <c r="K95" s="330">
        <f>K94</f>
        <v>1</v>
      </c>
      <c r="L95" s="407"/>
      <c r="M95" s="408"/>
      <c r="N95" s="409">
        <f>ROUND(L95*K95,2)</f>
        <v>0</v>
      </c>
      <c r="O95" s="409"/>
      <c r="P95" s="409"/>
      <c r="Q95" s="409"/>
      <c r="R95" s="143">
        <v>0</v>
      </c>
      <c r="S95" s="144">
        <f>R95*K95</f>
        <v>0</v>
      </c>
      <c r="T95" s="143">
        <v>0.44</v>
      </c>
      <c r="U95" s="144">
        <f>T95*K95</f>
        <v>0.44</v>
      </c>
      <c r="V95" s="91"/>
      <c r="X95" s="163" t="s">
        <v>88</v>
      </c>
      <c r="Z95" s="271">
        <v>200</v>
      </c>
      <c r="AA95" s="404"/>
      <c r="AC95" s="107"/>
    </row>
    <row r="96" spans="2:29" s="1" customFormat="1" ht="13.5">
      <c r="B96" s="65"/>
      <c r="C96" s="145"/>
      <c r="D96" s="145"/>
      <c r="E96" s="240" t="s">
        <v>109</v>
      </c>
      <c r="F96" s="281"/>
      <c r="G96" s="282"/>
      <c r="H96" s="282"/>
      <c r="I96" s="282"/>
      <c r="J96" s="239"/>
      <c r="K96" s="331">
        <v>1</v>
      </c>
      <c r="L96" s="147"/>
      <c r="M96" s="148"/>
      <c r="N96" s="149"/>
      <c r="O96" s="149"/>
      <c r="P96" s="149"/>
      <c r="Q96" s="149"/>
      <c r="R96" s="150"/>
      <c r="S96" s="151"/>
      <c r="T96" s="150"/>
      <c r="U96" s="151"/>
      <c r="V96" s="67"/>
      <c r="W96" s="62"/>
      <c r="X96" s="99"/>
      <c r="Y96" s="62"/>
      <c r="Z96" s="82"/>
      <c r="AC96" s="107"/>
    </row>
    <row r="97" spans="2:29" s="1" customFormat="1" ht="13.5">
      <c r="B97" s="65"/>
      <c r="C97" s="145"/>
      <c r="D97" s="145"/>
      <c r="E97" s="152"/>
      <c r="F97" s="153"/>
      <c r="G97" s="154"/>
      <c r="H97" s="154"/>
      <c r="I97" s="154"/>
      <c r="J97" s="155"/>
      <c r="K97" s="332">
        <f>SUM(K96:K96)</f>
        <v>1</v>
      </c>
      <c r="L97" s="147"/>
      <c r="M97" s="148"/>
      <c r="N97" s="149"/>
      <c r="O97" s="149"/>
      <c r="P97" s="149"/>
      <c r="Q97" s="149"/>
      <c r="R97" s="150"/>
      <c r="S97" s="151"/>
      <c r="T97" s="150"/>
      <c r="U97" s="151"/>
      <c r="V97" s="67"/>
      <c r="W97" s="62"/>
      <c r="X97" s="99"/>
      <c r="Y97" s="62"/>
      <c r="Z97" s="82"/>
      <c r="AC97" s="107"/>
    </row>
    <row r="98" spans="2:29" s="1" customFormat="1" ht="17.25" customHeight="1">
      <c r="B98" s="65"/>
      <c r="C98" s="157">
        <v>13</v>
      </c>
      <c r="D98" s="157" t="s">
        <v>72</v>
      </c>
      <c r="E98" s="158" t="s">
        <v>161</v>
      </c>
      <c r="F98" s="397" t="s">
        <v>162</v>
      </c>
      <c r="G98" s="398"/>
      <c r="H98" s="398"/>
      <c r="I98" s="398"/>
      <c r="J98" s="159" t="s">
        <v>73</v>
      </c>
      <c r="K98" s="333">
        <f>K100</f>
        <v>1.25</v>
      </c>
      <c r="L98" s="399"/>
      <c r="M98" s="400"/>
      <c r="N98" s="410">
        <f>ROUND(L98*K98,2)</f>
        <v>0</v>
      </c>
      <c r="O98" s="410"/>
      <c r="P98" s="410"/>
      <c r="Q98" s="410"/>
      <c r="R98" s="160">
        <v>0</v>
      </c>
      <c r="S98" s="124">
        <f>R98*K98</f>
        <v>0</v>
      </c>
      <c r="T98" s="160">
        <v>0.44</v>
      </c>
      <c r="U98" s="124">
        <f>T98*K98</f>
        <v>0.55</v>
      </c>
      <c r="V98" s="91"/>
      <c r="X98" s="293" t="s">
        <v>88</v>
      </c>
      <c r="Z98" s="83">
        <v>300</v>
      </c>
      <c r="AC98" s="107"/>
    </row>
    <row r="99" spans="2:29" s="1" customFormat="1" ht="13.5">
      <c r="B99" s="65"/>
      <c r="C99" s="145"/>
      <c r="D99" s="145"/>
      <c r="E99" s="240" t="s">
        <v>108</v>
      </c>
      <c r="F99" s="281"/>
      <c r="G99" s="282"/>
      <c r="H99" s="282"/>
      <c r="I99" s="282"/>
      <c r="J99" s="239"/>
      <c r="K99" s="331">
        <v>1.25</v>
      </c>
      <c r="L99" s="147"/>
      <c r="M99" s="148"/>
      <c r="N99" s="149"/>
      <c r="O99" s="149"/>
      <c r="P99" s="149"/>
      <c r="Q99" s="149"/>
      <c r="R99" s="150"/>
      <c r="S99" s="151"/>
      <c r="T99" s="150"/>
      <c r="U99" s="151"/>
      <c r="V99" s="67"/>
      <c r="W99" s="62"/>
      <c r="X99" s="99"/>
      <c r="Y99" s="62"/>
      <c r="Z99" s="82"/>
      <c r="AC99" s="107"/>
    </row>
    <row r="100" spans="2:29" s="1" customFormat="1" ht="13.5">
      <c r="B100" s="65"/>
      <c r="C100" s="145"/>
      <c r="D100" s="145"/>
      <c r="E100" s="152"/>
      <c r="F100" s="153"/>
      <c r="G100" s="154"/>
      <c r="H100" s="154"/>
      <c r="I100" s="154"/>
      <c r="J100" s="155"/>
      <c r="K100" s="332">
        <f>SUM(K99:K99)</f>
        <v>1.25</v>
      </c>
      <c r="L100" s="147"/>
      <c r="M100" s="148"/>
      <c r="N100" s="149"/>
      <c r="O100" s="149"/>
      <c r="P100" s="149"/>
      <c r="Q100" s="149"/>
      <c r="R100" s="150"/>
      <c r="S100" s="151"/>
      <c r="T100" s="150"/>
      <c r="U100" s="151"/>
      <c r="V100" s="67"/>
      <c r="W100" s="62"/>
      <c r="X100" s="99"/>
      <c r="Y100" s="62"/>
      <c r="Z100" s="82"/>
      <c r="AC100" s="107"/>
    </row>
    <row r="101" spans="2:29" s="1" customFormat="1" ht="13.5">
      <c r="B101" s="65"/>
      <c r="C101" s="157">
        <v>14</v>
      </c>
      <c r="D101" s="157" t="s">
        <v>72</v>
      </c>
      <c r="E101" s="158" t="s">
        <v>133</v>
      </c>
      <c r="F101" s="397" t="s">
        <v>134</v>
      </c>
      <c r="G101" s="398"/>
      <c r="H101" s="398"/>
      <c r="I101" s="398"/>
      <c r="J101" s="159" t="s">
        <v>74</v>
      </c>
      <c r="K101" s="333">
        <f>K104</f>
        <v>126.1</v>
      </c>
      <c r="L101" s="399"/>
      <c r="M101" s="400"/>
      <c r="N101" s="410">
        <f>ROUND(L101*K101,2)</f>
        <v>0</v>
      </c>
      <c r="O101" s="410"/>
      <c r="P101" s="410"/>
      <c r="Q101" s="410"/>
      <c r="R101" s="160">
        <v>0</v>
      </c>
      <c r="S101" s="124">
        <f>R101*K101</f>
        <v>0</v>
      </c>
      <c r="T101" s="160">
        <v>0.125</v>
      </c>
      <c r="U101" s="124">
        <f>T101*K101</f>
        <v>15.7625</v>
      </c>
      <c r="V101" s="91"/>
      <c r="W101" s="17"/>
      <c r="X101" s="161" t="s">
        <v>89</v>
      </c>
      <c r="Y101" s="17"/>
      <c r="Z101" s="17"/>
      <c r="AC101" s="107"/>
    </row>
    <row r="102" spans="2:29" s="1" customFormat="1" ht="13.5">
      <c r="B102" s="65"/>
      <c r="C102" s="63"/>
      <c r="D102" s="63"/>
      <c r="E102" s="240" t="s">
        <v>164</v>
      </c>
      <c r="F102" s="281" t="s">
        <v>165</v>
      </c>
      <c r="G102" s="282"/>
      <c r="H102" s="282"/>
      <c r="I102" s="282"/>
      <c r="J102" s="239"/>
      <c r="K102" s="331">
        <v>16</v>
      </c>
      <c r="L102" s="64"/>
      <c r="M102" s="97"/>
      <c r="N102" s="288"/>
      <c r="O102" s="288"/>
      <c r="P102" s="288"/>
      <c r="Q102" s="288"/>
      <c r="R102" s="84"/>
      <c r="S102" s="99"/>
      <c r="T102" s="84"/>
      <c r="U102" s="99"/>
      <c r="V102" s="67"/>
      <c r="W102" s="62"/>
      <c r="X102" s="62"/>
      <c r="Y102" s="62"/>
      <c r="Z102" s="82"/>
      <c r="AC102" s="107"/>
    </row>
    <row r="103" spans="2:29" s="1" customFormat="1" ht="13.5">
      <c r="B103" s="65"/>
      <c r="C103" s="63"/>
      <c r="D103" s="63"/>
      <c r="E103" s="240" t="s">
        <v>135</v>
      </c>
      <c r="F103" s="281" t="s">
        <v>203</v>
      </c>
      <c r="G103" s="282"/>
      <c r="H103" s="282"/>
      <c r="I103" s="282"/>
      <c r="J103" s="239"/>
      <c r="K103" s="331">
        <f>136.6-(5*1.5+4.5+4+3.5+3+4)</f>
        <v>110.1</v>
      </c>
      <c r="L103" s="64"/>
      <c r="M103" s="97"/>
      <c r="N103" s="287"/>
      <c r="O103" s="287"/>
      <c r="P103" s="287"/>
      <c r="Q103" s="287"/>
      <c r="R103" s="84"/>
      <c r="S103" s="99"/>
      <c r="T103" s="84"/>
      <c r="U103" s="99"/>
      <c r="V103" s="67"/>
      <c r="W103" s="62"/>
      <c r="X103" s="62"/>
      <c r="Y103" s="62"/>
      <c r="Z103" s="82"/>
      <c r="AC103" s="107"/>
    </row>
    <row r="104" spans="2:29" s="1" customFormat="1" ht="13.5">
      <c r="B104" s="65"/>
      <c r="C104" s="63"/>
      <c r="D104" s="63"/>
      <c r="E104" s="152"/>
      <c r="F104" s="153"/>
      <c r="G104" s="154"/>
      <c r="H104" s="154"/>
      <c r="I104" s="154"/>
      <c r="J104" s="69"/>
      <c r="K104" s="334">
        <f>SUM(K102:K103)</f>
        <v>126.1</v>
      </c>
      <c r="L104" s="64"/>
      <c r="M104" s="97"/>
      <c r="N104" s="287"/>
      <c r="O104" s="287"/>
      <c r="P104" s="287"/>
      <c r="Q104" s="287"/>
      <c r="R104" s="84"/>
      <c r="S104" s="99"/>
      <c r="T104" s="84"/>
      <c r="U104" s="99"/>
      <c r="V104" s="67"/>
      <c r="W104" s="62"/>
      <c r="X104" s="62"/>
      <c r="Y104" s="62"/>
      <c r="Z104" s="82"/>
      <c r="AC104" s="107"/>
    </row>
    <row r="105" spans="2:29" s="1" customFormat="1" ht="13.5">
      <c r="B105" s="65"/>
      <c r="C105" s="157">
        <v>15</v>
      </c>
      <c r="D105" s="157" t="s">
        <v>72</v>
      </c>
      <c r="E105" s="158" t="s">
        <v>130</v>
      </c>
      <c r="F105" s="397" t="s">
        <v>166</v>
      </c>
      <c r="G105" s="398"/>
      <c r="H105" s="398"/>
      <c r="I105" s="398"/>
      <c r="J105" s="159" t="s">
        <v>74</v>
      </c>
      <c r="K105" s="333">
        <f>K107</f>
        <v>2.7</v>
      </c>
      <c r="L105" s="399"/>
      <c r="M105" s="400"/>
      <c r="N105" s="410">
        <f>ROUND(L105*K105,2)</f>
        <v>0</v>
      </c>
      <c r="O105" s="410"/>
      <c r="P105" s="410"/>
      <c r="Q105" s="410"/>
      <c r="R105" s="160">
        <v>0</v>
      </c>
      <c r="S105" s="124">
        <f>R105*K105</f>
        <v>0</v>
      </c>
      <c r="T105" s="160">
        <v>0.27</v>
      </c>
      <c r="U105" s="124">
        <f>T105*K105</f>
        <v>0.7290000000000001</v>
      </c>
      <c r="V105" s="91"/>
      <c r="W105" s="17"/>
      <c r="X105" s="290" t="s">
        <v>119</v>
      </c>
      <c r="Y105" s="17"/>
      <c r="Z105" s="17"/>
      <c r="AC105" s="107"/>
    </row>
    <row r="106" spans="2:29" s="1" customFormat="1" ht="13.5">
      <c r="B106" s="65"/>
      <c r="C106" s="63"/>
      <c r="D106" s="63"/>
      <c r="E106" s="240" t="s">
        <v>132</v>
      </c>
      <c r="F106" s="281"/>
      <c r="G106" s="282"/>
      <c r="H106" s="282"/>
      <c r="I106" s="282"/>
      <c r="J106" s="239"/>
      <c r="K106" s="331">
        <v>2.7</v>
      </c>
      <c r="L106" s="64"/>
      <c r="M106" s="97"/>
      <c r="N106" s="288"/>
      <c r="O106" s="288"/>
      <c r="P106" s="288"/>
      <c r="Q106" s="288"/>
      <c r="R106" s="84"/>
      <c r="S106" s="99"/>
      <c r="T106" s="84"/>
      <c r="U106" s="99"/>
      <c r="V106" s="67"/>
      <c r="W106" s="62"/>
      <c r="X106" s="62"/>
      <c r="Y106" s="62"/>
      <c r="Z106" s="82"/>
      <c r="AC106" s="107"/>
    </row>
    <row r="107" spans="2:29" s="1" customFormat="1" ht="13.5">
      <c r="B107" s="65"/>
      <c r="C107" s="63"/>
      <c r="D107" s="63"/>
      <c r="E107" s="152"/>
      <c r="F107" s="153"/>
      <c r="G107" s="154"/>
      <c r="H107" s="154"/>
      <c r="I107" s="154"/>
      <c r="J107" s="69"/>
      <c r="K107" s="334">
        <f>SUM(K106:K106)</f>
        <v>2.7</v>
      </c>
      <c r="L107" s="64"/>
      <c r="M107" s="97"/>
      <c r="N107" s="98"/>
      <c r="O107" s="98"/>
      <c r="P107" s="98"/>
      <c r="Q107" s="98"/>
      <c r="R107" s="84"/>
      <c r="S107" s="99"/>
      <c r="T107" s="84"/>
      <c r="U107" s="99"/>
      <c r="V107" s="67"/>
      <c r="W107" s="62"/>
      <c r="X107" s="62"/>
      <c r="Y107" s="62"/>
      <c r="Z107" s="82"/>
      <c r="AC107" s="107"/>
    </row>
    <row r="108" spans="2:29" s="1" customFormat="1" ht="13.5">
      <c r="B108" s="65"/>
      <c r="C108" s="157">
        <v>16</v>
      </c>
      <c r="D108" s="157" t="s">
        <v>72</v>
      </c>
      <c r="E108" s="158" t="s">
        <v>130</v>
      </c>
      <c r="F108" s="397" t="s">
        <v>131</v>
      </c>
      <c r="G108" s="398"/>
      <c r="H108" s="398"/>
      <c r="I108" s="398"/>
      <c r="J108" s="159" t="s">
        <v>74</v>
      </c>
      <c r="K108" s="333">
        <f>K110</f>
        <v>6.1</v>
      </c>
      <c r="L108" s="399"/>
      <c r="M108" s="400"/>
      <c r="N108" s="410">
        <f>ROUND(L108*K108,2)</f>
        <v>0</v>
      </c>
      <c r="O108" s="410"/>
      <c r="P108" s="410"/>
      <c r="Q108" s="410"/>
      <c r="R108" s="160">
        <v>0</v>
      </c>
      <c r="S108" s="124">
        <f>R108*K108</f>
        <v>0</v>
      </c>
      <c r="T108" s="160">
        <v>0.27</v>
      </c>
      <c r="U108" s="124">
        <f>T108*K108</f>
        <v>1.647</v>
      </c>
      <c r="V108" s="91"/>
      <c r="W108" s="17"/>
      <c r="X108" s="161" t="s">
        <v>89</v>
      </c>
      <c r="Y108" s="17"/>
      <c r="Z108" s="17"/>
      <c r="AC108" s="107"/>
    </row>
    <row r="109" spans="2:29" s="1" customFormat="1" ht="13.5">
      <c r="B109" s="65"/>
      <c r="C109" s="63"/>
      <c r="D109" s="63"/>
      <c r="E109" s="240" t="s">
        <v>163</v>
      </c>
      <c r="F109" s="281" t="s">
        <v>199</v>
      </c>
      <c r="G109" s="282"/>
      <c r="H109" s="282"/>
      <c r="I109" s="282"/>
      <c r="J109" s="239"/>
      <c r="K109" s="331">
        <f>2.1+4</f>
        <v>6.1</v>
      </c>
      <c r="L109" s="64"/>
      <c r="M109" s="97"/>
      <c r="N109" s="288"/>
      <c r="O109" s="288"/>
      <c r="P109" s="288"/>
      <c r="Q109" s="288"/>
      <c r="R109" s="84"/>
      <c r="S109" s="99"/>
      <c r="T109" s="84"/>
      <c r="U109" s="99"/>
      <c r="V109" s="67"/>
      <c r="W109" s="62"/>
      <c r="X109" s="62"/>
      <c r="Y109" s="62"/>
      <c r="Z109" s="82"/>
      <c r="AC109" s="107"/>
    </row>
    <row r="110" spans="2:29" s="1" customFormat="1" ht="13.5">
      <c r="B110" s="65"/>
      <c r="C110" s="63"/>
      <c r="D110" s="63"/>
      <c r="E110" s="152"/>
      <c r="F110" s="153"/>
      <c r="G110" s="154"/>
      <c r="H110" s="154"/>
      <c r="I110" s="154"/>
      <c r="J110" s="69"/>
      <c r="K110" s="334">
        <f>SUM(K109:K109)</f>
        <v>6.1</v>
      </c>
      <c r="L110" s="64"/>
      <c r="M110" s="97"/>
      <c r="N110" s="288"/>
      <c r="O110" s="288"/>
      <c r="P110" s="288"/>
      <c r="Q110" s="288"/>
      <c r="R110" s="84"/>
      <c r="S110" s="99"/>
      <c r="T110" s="84"/>
      <c r="U110" s="99"/>
      <c r="V110" s="67"/>
      <c r="W110" s="62"/>
      <c r="X110" s="62"/>
      <c r="Y110" s="62"/>
      <c r="Z110" s="82"/>
      <c r="AC110" s="107"/>
    </row>
    <row r="111" spans="2:29" s="1" customFormat="1" ht="13.5">
      <c r="B111" s="65"/>
      <c r="C111" s="76">
        <v>17</v>
      </c>
      <c r="D111" s="76" t="s">
        <v>72</v>
      </c>
      <c r="E111" s="158" t="s">
        <v>136</v>
      </c>
      <c r="F111" s="397" t="s">
        <v>137</v>
      </c>
      <c r="G111" s="398"/>
      <c r="H111" s="398"/>
      <c r="I111" s="398"/>
      <c r="J111" s="77" t="s">
        <v>75</v>
      </c>
      <c r="K111" s="104">
        <f>K114</f>
        <v>5.825</v>
      </c>
      <c r="L111" s="399"/>
      <c r="M111" s="400"/>
      <c r="N111" s="401">
        <f>ROUND(L111*K111,2)</f>
        <v>0</v>
      </c>
      <c r="O111" s="401"/>
      <c r="P111" s="401"/>
      <c r="Q111" s="401"/>
      <c r="R111" s="81">
        <v>0</v>
      </c>
      <c r="S111" s="120">
        <f>R111*K111</f>
        <v>0</v>
      </c>
      <c r="T111" s="81">
        <v>0</v>
      </c>
      <c r="U111" s="120">
        <f>T111*K111</f>
        <v>0</v>
      </c>
      <c r="V111" s="91"/>
      <c r="Z111" s="83">
        <v>100</v>
      </c>
      <c r="AA111" s="458">
        <f>SUM(Z111:Z115)</f>
        <v>400</v>
      </c>
      <c r="AC111" s="107"/>
    </row>
    <row r="112" spans="2:29" s="1" customFormat="1" ht="13.5">
      <c r="B112" s="65"/>
      <c r="C112" s="145"/>
      <c r="D112" s="145"/>
      <c r="E112" s="240" t="s">
        <v>108</v>
      </c>
      <c r="F112" s="281" t="s">
        <v>173</v>
      </c>
      <c r="G112" s="282"/>
      <c r="H112" s="282"/>
      <c r="I112" s="282"/>
      <c r="J112" s="239"/>
      <c r="K112" s="331">
        <f>8.25*0.1</f>
        <v>0.8250000000000001</v>
      </c>
      <c r="L112" s="147"/>
      <c r="M112" s="148"/>
      <c r="N112" s="149"/>
      <c r="O112" s="149"/>
      <c r="P112" s="149"/>
      <c r="Q112" s="149"/>
      <c r="R112" s="150"/>
      <c r="S112" s="151"/>
      <c r="T112" s="150"/>
      <c r="U112" s="151"/>
      <c r="V112" s="67"/>
      <c r="W112" s="62"/>
      <c r="X112" s="99"/>
      <c r="Y112" s="62"/>
      <c r="Z112" s="82"/>
      <c r="AA112" s="459"/>
      <c r="AC112" s="107"/>
    </row>
    <row r="113" spans="2:29" s="1" customFormat="1" ht="13.5">
      <c r="B113" s="65"/>
      <c r="C113" s="145"/>
      <c r="D113" s="145"/>
      <c r="E113" s="240" t="s">
        <v>109</v>
      </c>
      <c r="F113" s="281" t="s">
        <v>126</v>
      </c>
      <c r="G113" s="282"/>
      <c r="H113" s="282"/>
      <c r="I113" s="282"/>
      <c r="J113" s="239"/>
      <c r="K113" s="331">
        <f>50*0.1</f>
        <v>5</v>
      </c>
      <c r="L113" s="147"/>
      <c r="M113" s="148"/>
      <c r="N113" s="149"/>
      <c r="O113" s="149"/>
      <c r="P113" s="149"/>
      <c r="Q113" s="149"/>
      <c r="R113" s="150"/>
      <c r="S113" s="151"/>
      <c r="T113" s="150"/>
      <c r="U113" s="151"/>
      <c r="V113" s="67"/>
      <c r="W113" s="62"/>
      <c r="X113" s="99"/>
      <c r="Y113" s="62"/>
      <c r="Z113" s="82"/>
      <c r="AA113" s="459"/>
      <c r="AC113" s="107"/>
    </row>
    <row r="114" spans="2:29" s="1" customFormat="1" ht="13.5">
      <c r="B114" s="65"/>
      <c r="C114" s="145"/>
      <c r="D114" s="145"/>
      <c r="E114" s="152"/>
      <c r="F114" s="153"/>
      <c r="G114" s="154"/>
      <c r="H114" s="154"/>
      <c r="I114" s="154"/>
      <c r="J114" s="155"/>
      <c r="K114" s="332">
        <f>SUM(K112:K113)</f>
        <v>5.825</v>
      </c>
      <c r="L114" s="147"/>
      <c r="M114" s="148"/>
      <c r="N114" s="149"/>
      <c r="O114" s="149"/>
      <c r="P114" s="149"/>
      <c r="Q114" s="149"/>
      <c r="R114" s="150"/>
      <c r="S114" s="151"/>
      <c r="T114" s="150"/>
      <c r="U114" s="151"/>
      <c r="V114" s="67"/>
      <c r="W114" s="62"/>
      <c r="X114" s="99"/>
      <c r="Y114" s="62"/>
      <c r="Z114" s="82"/>
      <c r="AA114" s="459"/>
      <c r="AC114" s="107"/>
    </row>
    <row r="115" spans="2:29" s="1" customFormat="1" ht="13.5">
      <c r="B115" s="65"/>
      <c r="C115" s="76">
        <v>18</v>
      </c>
      <c r="D115" s="76" t="s">
        <v>72</v>
      </c>
      <c r="E115" s="158" t="s">
        <v>167</v>
      </c>
      <c r="F115" s="397" t="s">
        <v>168</v>
      </c>
      <c r="G115" s="398"/>
      <c r="H115" s="398"/>
      <c r="I115" s="398"/>
      <c r="J115" s="77" t="s">
        <v>75</v>
      </c>
      <c r="K115" s="104">
        <f>K120</f>
        <v>21.925</v>
      </c>
      <c r="L115" s="399"/>
      <c r="M115" s="400"/>
      <c r="N115" s="401">
        <f>ROUND(L115*K115,2)</f>
        <v>0</v>
      </c>
      <c r="O115" s="401"/>
      <c r="P115" s="401"/>
      <c r="Q115" s="401"/>
      <c r="R115" s="81">
        <v>0</v>
      </c>
      <c r="S115" s="120">
        <f>R115*K115</f>
        <v>0</v>
      </c>
      <c r="T115" s="81">
        <v>0</v>
      </c>
      <c r="U115" s="120">
        <f>T115*K115</f>
        <v>0</v>
      </c>
      <c r="V115" s="91"/>
      <c r="Z115" s="83">
        <v>300</v>
      </c>
      <c r="AA115" s="460"/>
      <c r="AC115" s="107"/>
    </row>
    <row r="116" spans="2:29" s="1" customFormat="1" ht="13.5">
      <c r="B116" s="65"/>
      <c r="C116" s="63"/>
      <c r="D116" s="63"/>
      <c r="E116" s="240" t="s">
        <v>172</v>
      </c>
      <c r="F116" s="281" t="s">
        <v>174</v>
      </c>
      <c r="G116" s="282"/>
      <c r="H116" s="282"/>
      <c r="I116" s="282"/>
      <c r="J116" s="239"/>
      <c r="K116" s="331">
        <f>8.25*0.3</f>
        <v>2.475</v>
      </c>
      <c r="L116" s="64"/>
      <c r="M116" s="97"/>
      <c r="N116" s="98"/>
      <c r="O116" s="98"/>
      <c r="P116" s="98"/>
      <c r="Q116" s="98"/>
      <c r="R116" s="84"/>
      <c r="S116" s="99"/>
      <c r="T116" s="84"/>
      <c r="U116" s="99"/>
      <c r="V116" s="91"/>
      <c r="AC116" s="107"/>
    </row>
    <row r="117" spans="2:29" s="1" customFormat="1" ht="13.5">
      <c r="B117" s="65"/>
      <c r="C117" s="63"/>
      <c r="D117" s="63"/>
      <c r="E117" s="240" t="s">
        <v>171</v>
      </c>
      <c r="F117" s="281" t="s">
        <v>219</v>
      </c>
      <c r="G117" s="282"/>
      <c r="H117" s="282"/>
      <c r="I117" s="282"/>
      <c r="J117" s="239"/>
      <c r="K117" s="331">
        <f>(4+2.1)*0.5*0.25</f>
        <v>0.7625</v>
      </c>
      <c r="L117" s="64"/>
      <c r="M117" s="97"/>
      <c r="N117" s="288"/>
      <c r="O117" s="288"/>
      <c r="P117" s="288"/>
      <c r="Q117" s="288"/>
      <c r="R117" s="84"/>
      <c r="S117" s="99"/>
      <c r="T117" s="84"/>
      <c r="U117" s="99"/>
      <c r="V117" s="91"/>
      <c r="AC117" s="107"/>
    </row>
    <row r="118" spans="2:29" s="1" customFormat="1" ht="13.5">
      <c r="B118" s="65"/>
      <c r="C118" s="63"/>
      <c r="D118" s="63"/>
      <c r="E118" s="240" t="s">
        <v>127</v>
      </c>
      <c r="F118" s="281" t="s">
        <v>175</v>
      </c>
      <c r="G118" s="282"/>
      <c r="H118" s="282"/>
      <c r="I118" s="282"/>
      <c r="J118" s="239"/>
      <c r="K118" s="331">
        <f>50*0.3</f>
        <v>15</v>
      </c>
      <c r="L118" s="64"/>
      <c r="M118" s="97"/>
      <c r="N118" s="272"/>
      <c r="O118" s="272"/>
      <c r="P118" s="272"/>
      <c r="Q118" s="272"/>
      <c r="R118" s="84"/>
      <c r="S118" s="99"/>
      <c r="T118" s="84"/>
      <c r="U118" s="99"/>
      <c r="V118" s="91"/>
      <c r="AC118" s="107"/>
    </row>
    <row r="119" spans="2:29" s="1" customFormat="1" ht="13.5">
      <c r="B119" s="65"/>
      <c r="C119" s="63"/>
      <c r="D119" s="63"/>
      <c r="E119" s="240" t="s">
        <v>128</v>
      </c>
      <c r="F119" s="281" t="s">
        <v>129</v>
      </c>
      <c r="G119" s="282"/>
      <c r="H119" s="282"/>
      <c r="I119" s="282"/>
      <c r="J119" s="239"/>
      <c r="K119" s="331">
        <f>(5*1.5+4.5+4+6.5+3+4)*0.5*0.25</f>
        <v>3.6875</v>
      </c>
      <c r="L119" s="64"/>
      <c r="M119" s="97"/>
      <c r="N119" s="287"/>
      <c r="O119" s="287"/>
      <c r="P119" s="287"/>
      <c r="Q119" s="287"/>
      <c r="R119" s="84"/>
      <c r="S119" s="99"/>
      <c r="T119" s="84"/>
      <c r="U119" s="99"/>
      <c r="V119" s="91"/>
      <c r="AC119" s="107"/>
    </row>
    <row r="120" spans="2:29" s="1" customFormat="1" ht="13.5">
      <c r="B120" s="65"/>
      <c r="C120" s="63"/>
      <c r="D120" s="63"/>
      <c r="E120" s="152"/>
      <c r="F120" s="153"/>
      <c r="G120" s="154"/>
      <c r="H120" s="154"/>
      <c r="I120" s="154"/>
      <c r="J120" s="155"/>
      <c r="K120" s="332">
        <f>SUM(K116:K119)</f>
        <v>21.925</v>
      </c>
      <c r="L120" s="64"/>
      <c r="M120" s="97"/>
      <c r="N120" s="98"/>
      <c r="O120" s="98"/>
      <c r="P120" s="98"/>
      <c r="Q120" s="98"/>
      <c r="R120" s="84"/>
      <c r="S120" s="99"/>
      <c r="T120" s="84"/>
      <c r="U120" s="99"/>
      <c r="V120" s="91"/>
      <c r="AC120" s="107"/>
    </row>
    <row r="121" spans="2:29" s="1" customFormat="1" ht="13.5">
      <c r="B121" s="65"/>
      <c r="C121" s="135">
        <v>19</v>
      </c>
      <c r="D121" s="135" t="s">
        <v>72</v>
      </c>
      <c r="E121" s="136" t="s">
        <v>169</v>
      </c>
      <c r="F121" s="421" t="s">
        <v>170</v>
      </c>
      <c r="G121" s="422"/>
      <c r="H121" s="422"/>
      <c r="I121" s="422"/>
      <c r="J121" s="71" t="s">
        <v>75</v>
      </c>
      <c r="K121" s="106">
        <f>K128</f>
        <v>4.45</v>
      </c>
      <c r="L121" s="413"/>
      <c r="M121" s="414"/>
      <c r="N121" s="423">
        <f>ROUND(L121*K121,2)</f>
        <v>0</v>
      </c>
      <c r="O121" s="423"/>
      <c r="P121" s="423"/>
      <c r="Q121" s="423"/>
      <c r="R121" s="78">
        <v>0</v>
      </c>
      <c r="S121" s="117">
        <f>R121*K121</f>
        <v>0</v>
      </c>
      <c r="T121" s="78">
        <v>0</v>
      </c>
      <c r="U121" s="117">
        <f>T121*K121</f>
        <v>0</v>
      </c>
      <c r="V121" s="91"/>
      <c r="AC121" s="345"/>
    </row>
    <row r="122" spans="2:29" s="1" customFormat="1" ht="13.5">
      <c r="B122" s="65"/>
      <c r="C122" s="292">
        <v>20</v>
      </c>
      <c r="D122" s="292" t="s">
        <v>72</v>
      </c>
      <c r="E122" s="156" t="s">
        <v>176</v>
      </c>
      <c r="F122" s="419" t="s">
        <v>177</v>
      </c>
      <c r="G122" s="420"/>
      <c r="H122" s="420"/>
      <c r="I122" s="420"/>
      <c r="J122" s="75" t="s">
        <v>75</v>
      </c>
      <c r="K122" s="107">
        <f>K121</f>
        <v>4.45</v>
      </c>
      <c r="L122" s="395"/>
      <c r="M122" s="418"/>
      <c r="N122" s="396">
        <f>ROUND(L122*K122,2)</f>
        <v>0</v>
      </c>
      <c r="O122" s="396"/>
      <c r="P122" s="396"/>
      <c r="Q122" s="396"/>
      <c r="R122" s="80">
        <v>0</v>
      </c>
      <c r="S122" s="119">
        <f>R122*K122</f>
        <v>0</v>
      </c>
      <c r="T122" s="80">
        <v>0</v>
      </c>
      <c r="U122" s="119">
        <f>T122*K122</f>
        <v>0</v>
      </c>
      <c r="V122" s="91"/>
      <c r="AC122" s="345"/>
    </row>
    <row r="123" spans="2:29" s="1" customFormat="1" ht="13.5">
      <c r="B123" s="65"/>
      <c r="C123" s="292">
        <v>21</v>
      </c>
      <c r="D123" s="292" t="s">
        <v>72</v>
      </c>
      <c r="E123" s="156" t="s">
        <v>178</v>
      </c>
      <c r="F123" s="393" t="s">
        <v>179</v>
      </c>
      <c r="G123" s="394"/>
      <c r="H123" s="394"/>
      <c r="I123" s="394"/>
      <c r="J123" s="75" t="s">
        <v>75</v>
      </c>
      <c r="K123" s="107">
        <f>K122*2</f>
        <v>8.9</v>
      </c>
      <c r="L123" s="395"/>
      <c r="M123" s="418"/>
      <c r="N123" s="396">
        <f>ROUND(L123*K123,2)</f>
        <v>0</v>
      </c>
      <c r="O123" s="396"/>
      <c r="P123" s="396"/>
      <c r="Q123" s="396"/>
      <c r="R123" s="80">
        <v>0</v>
      </c>
      <c r="S123" s="119">
        <f>R123*K123</f>
        <v>0</v>
      </c>
      <c r="T123" s="80">
        <v>0</v>
      </c>
      <c r="U123" s="119">
        <f>T123*K123</f>
        <v>0</v>
      </c>
      <c r="V123" s="91"/>
      <c r="AC123" s="345"/>
    </row>
    <row r="124" spans="2:29" s="1" customFormat="1" ht="13.5">
      <c r="B124" s="65"/>
      <c r="C124" s="292">
        <v>22</v>
      </c>
      <c r="D124" s="292" t="s">
        <v>72</v>
      </c>
      <c r="E124" s="156" t="s">
        <v>180</v>
      </c>
      <c r="F124" s="419" t="s">
        <v>181</v>
      </c>
      <c r="G124" s="420"/>
      <c r="H124" s="420"/>
      <c r="I124" s="420"/>
      <c r="J124" s="75" t="s">
        <v>75</v>
      </c>
      <c r="K124" s="107">
        <f>K128</f>
        <v>4.45</v>
      </c>
      <c r="L124" s="395"/>
      <c r="M124" s="418"/>
      <c r="N124" s="396">
        <f>ROUND(L124*K124,2)</f>
        <v>0</v>
      </c>
      <c r="O124" s="396"/>
      <c r="P124" s="396"/>
      <c r="Q124" s="396"/>
      <c r="R124" s="80">
        <v>0</v>
      </c>
      <c r="S124" s="119">
        <f>R124*K124</f>
        <v>0</v>
      </c>
      <c r="T124" s="80">
        <v>0</v>
      </c>
      <c r="U124" s="119">
        <f>T124*K124</f>
        <v>0</v>
      </c>
      <c r="V124" s="91"/>
      <c r="AC124" s="346"/>
    </row>
    <row r="125" spans="2:29" s="1" customFormat="1" ht="13.5">
      <c r="B125" s="65"/>
      <c r="C125" s="140">
        <v>23</v>
      </c>
      <c r="D125" s="140" t="s">
        <v>72</v>
      </c>
      <c r="E125" s="141"/>
      <c r="F125" s="415" t="s">
        <v>104</v>
      </c>
      <c r="G125" s="416"/>
      <c r="H125" s="416"/>
      <c r="I125" s="416"/>
      <c r="J125" s="73" t="s">
        <v>76</v>
      </c>
      <c r="K125" s="105">
        <f>K128*1.65</f>
        <v>7.3425</v>
      </c>
      <c r="L125" s="407"/>
      <c r="M125" s="408"/>
      <c r="N125" s="417">
        <f>ROUND(L125*K125,2)</f>
        <v>0</v>
      </c>
      <c r="O125" s="417"/>
      <c r="P125" s="417"/>
      <c r="Q125" s="417"/>
      <c r="R125" s="79">
        <v>0</v>
      </c>
      <c r="S125" s="118">
        <f>R125*K125</f>
        <v>0</v>
      </c>
      <c r="T125" s="79">
        <v>0</v>
      </c>
      <c r="U125" s="118">
        <f>T125*K125</f>
        <v>0</v>
      </c>
      <c r="V125" s="91"/>
      <c r="AC125" s="111"/>
    </row>
    <row r="126" spans="2:29" s="1" customFormat="1" ht="13.5">
      <c r="B126" s="65"/>
      <c r="C126" s="63"/>
      <c r="D126" s="63"/>
      <c r="E126" s="240" t="s">
        <v>171</v>
      </c>
      <c r="F126" s="281" t="s">
        <v>219</v>
      </c>
      <c r="G126" s="282"/>
      <c r="H126" s="282"/>
      <c r="I126" s="282"/>
      <c r="J126" s="239"/>
      <c r="K126" s="331">
        <f>(4+2.1)*0.5*0.25</f>
        <v>0.7625</v>
      </c>
      <c r="L126" s="261"/>
      <c r="M126" s="262"/>
      <c r="N126" s="285"/>
      <c r="O126" s="285"/>
      <c r="P126" s="285"/>
      <c r="Q126" s="285"/>
      <c r="R126" s="66"/>
      <c r="S126" s="263"/>
      <c r="T126" s="66"/>
      <c r="U126" s="263"/>
      <c r="V126" s="67"/>
      <c r="W126" s="286"/>
      <c r="AC126" s="352"/>
    </row>
    <row r="127" spans="2:29" s="1" customFormat="1" ht="13.5">
      <c r="B127" s="65"/>
      <c r="C127" s="63"/>
      <c r="D127" s="63"/>
      <c r="E127" s="240" t="s">
        <v>128</v>
      </c>
      <c r="F127" s="281" t="s">
        <v>129</v>
      </c>
      <c r="G127" s="282"/>
      <c r="H127" s="282"/>
      <c r="I127" s="282"/>
      <c r="J127" s="239"/>
      <c r="K127" s="331">
        <f>(5*1.5+4.5+4+6.5+3+4)*0.5*0.25</f>
        <v>3.6875</v>
      </c>
      <c r="L127" s="261"/>
      <c r="M127" s="262"/>
      <c r="N127" s="285"/>
      <c r="O127" s="285"/>
      <c r="P127" s="285"/>
      <c r="Q127" s="285"/>
      <c r="R127" s="66"/>
      <c r="S127" s="263"/>
      <c r="T127" s="66"/>
      <c r="U127" s="263"/>
      <c r="V127" s="91"/>
      <c r="AC127" s="345"/>
    </row>
    <row r="128" spans="2:29" s="1" customFormat="1" ht="13.5">
      <c r="B128" s="65"/>
      <c r="C128" s="63"/>
      <c r="D128" s="63"/>
      <c r="E128" s="152"/>
      <c r="F128" s="153"/>
      <c r="G128" s="154"/>
      <c r="H128" s="154"/>
      <c r="I128" s="154"/>
      <c r="J128" s="69"/>
      <c r="K128" s="334">
        <f>SUM(K126:K127)</f>
        <v>4.45</v>
      </c>
      <c r="L128" s="64"/>
      <c r="M128" s="97"/>
      <c r="N128" s="273"/>
      <c r="O128" s="273"/>
      <c r="P128" s="273"/>
      <c r="Q128" s="273"/>
      <c r="R128" s="84"/>
      <c r="S128" s="99"/>
      <c r="T128" s="84"/>
      <c r="U128" s="99"/>
      <c r="V128" s="91"/>
      <c r="AC128" s="107"/>
    </row>
    <row r="129" spans="2:29" s="1" customFormat="1" ht="13.5">
      <c r="B129" s="65"/>
      <c r="C129" s="157">
        <v>24</v>
      </c>
      <c r="D129" s="76" t="s">
        <v>72</v>
      </c>
      <c r="E129" s="158" t="s">
        <v>191</v>
      </c>
      <c r="F129" s="397" t="s">
        <v>192</v>
      </c>
      <c r="G129" s="398"/>
      <c r="H129" s="398"/>
      <c r="I129" s="398"/>
      <c r="J129" s="77" t="s">
        <v>75</v>
      </c>
      <c r="K129" s="104">
        <f>K132</f>
        <v>17.475</v>
      </c>
      <c r="L129" s="399"/>
      <c r="M129" s="400"/>
      <c r="N129" s="401">
        <f>ROUND(L129*K129,2)</f>
        <v>0</v>
      </c>
      <c r="O129" s="401"/>
      <c r="P129" s="401"/>
      <c r="Q129" s="401"/>
      <c r="R129" s="81">
        <v>0</v>
      </c>
      <c r="S129" s="120">
        <f>R129*K129</f>
        <v>0</v>
      </c>
      <c r="T129" s="81">
        <v>0</v>
      </c>
      <c r="U129" s="120">
        <f>T129*K129</f>
        <v>0</v>
      </c>
      <c r="V129" s="91"/>
      <c r="AC129" s="107"/>
    </row>
    <row r="130" spans="2:29" s="1" customFormat="1" ht="13.5">
      <c r="B130" s="65"/>
      <c r="C130" s="63"/>
      <c r="D130" s="63"/>
      <c r="E130" s="240" t="s">
        <v>172</v>
      </c>
      <c r="F130" s="281" t="s">
        <v>174</v>
      </c>
      <c r="G130" s="282"/>
      <c r="H130" s="282"/>
      <c r="I130" s="282"/>
      <c r="J130" s="239"/>
      <c r="K130" s="331">
        <f>8.25*0.3</f>
        <v>2.475</v>
      </c>
      <c r="L130" s="64"/>
      <c r="M130" s="97"/>
      <c r="N130" s="288"/>
      <c r="O130" s="288"/>
      <c r="P130" s="288"/>
      <c r="Q130" s="288"/>
      <c r="R130" s="84"/>
      <c r="S130" s="99"/>
      <c r="T130" s="84"/>
      <c r="U130" s="99"/>
      <c r="V130" s="67"/>
      <c r="W130" s="62"/>
      <c r="X130" s="62"/>
      <c r="Y130" s="62"/>
      <c r="Z130" s="82"/>
      <c r="AC130" s="107"/>
    </row>
    <row r="131" spans="2:29" s="1" customFormat="1" ht="13.5">
      <c r="B131" s="65"/>
      <c r="C131" s="63"/>
      <c r="D131" s="63"/>
      <c r="E131" s="240" t="s">
        <v>127</v>
      </c>
      <c r="F131" s="281" t="s">
        <v>175</v>
      </c>
      <c r="G131" s="282"/>
      <c r="H131" s="282"/>
      <c r="I131" s="282"/>
      <c r="J131" s="239"/>
      <c r="K131" s="331">
        <f>50*0.3</f>
        <v>15</v>
      </c>
      <c r="L131" s="64"/>
      <c r="M131" s="97"/>
      <c r="N131" s="288"/>
      <c r="O131" s="288"/>
      <c r="P131" s="288"/>
      <c r="Q131" s="288"/>
      <c r="R131" s="84"/>
      <c r="S131" s="99"/>
      <c r="T131" s="84"/>
      <c r="U131" s="99"/>
      <c r="V131" s="67"/>
      <c r="W131" s="62"/>
      <c r="X131" s="62"/>
      <c r="Y131" s="62"/>
      <c r="Z131" s="82"/>
      <c r="AC131" s="107"/>
    </row>
    <row r="132" spans="2:29" s="1" customFormat="1" ht="13.5">
      <c r="B132" s="65"/>
      <c r="C132" s="63"/>
      <c r="D132" s="63"/>
      <c r="E132" s="152"/>
      <c r="F132" s="153"/>
      <c r="G132" s="154"/>
      <c r="H132" s="154"/>
      <c r="I132" s="154"/>
      <c r="J132" s="69"/>
      <c r="K132" s="334">
        <f>SUM(K130:K131)</f>
        <v>17.475</v>
      </c>
      <c r="L132" s="64"/>
      <c r="M132" s="97"/>
      <c r="N132" s="288"/>
      <c r="O132" s="288"/>
      <c r="P132" s="288"/>
      <c r="Q132" s="288"/>
      <c r="R132" s="84"/>
      <c r="S132" s="99"/>
      <c r="T132" s="84"/>
      <c r="U132" s="99"/>
      <c r="V132" s="91"/>
      <c r="AC132" s="107"/>
    </row>
    <row r="133" spans="2:29" s="1" customFormat="1" ht="13.5">
      <c r="B133" s="65"/>
      <c r="C133" s="135">
        <v>25</v>
      </c>
      <c r="D133" s="135" t="s">
        <v>72</v>
      </c>
      <c r="E133" s="136" t="s">
        <v>183</v>
      </c>
      <c r="F133" s="411" t="s">
        <v>184</v>
      </c>
      <c r="G133" s="412"/>
      <c r="H133" s="412"/>
      <c r="I133" s="412"/>
      <c r="J133" s="71" t="s">
        <v>73</v>
      </c>
      <c r="K133" s="106">
        <f>K137</f>
        <v>58.25</v>
      </c>
      <c r="L133" s="413"/>
      <c r="M133" s="414"/>
      <c r="N133" s="423">
        <f>ROUND(L133*K133,2)</f>
        <v>0</v>
      </c>
      <c r="O133" s="423"/>
      <c r="P133" s="423"/>
      <c r="Q133" s="423"/>
      <c r="R133" s="78">
        <v>0</v>
      </c>
      <c r="S133" s="117">
        <f>R133*K133</f>
        <v>0</v>
      </c>
      <c r="T133" s="78">
        <v>0</v>
      </c>
      <c r="U133" s="117">
        <f>T133*K133</f>
        <v>0</v>
      </c>
      <c r="V133" s="91"/>
      <c r="AC133" s="107"/>
    </row>
    <row r="134" spans="2:29" s="1" customFormat="1" ht="13.5">
      <c r="B134" s="65"/>
      <c r="C134" s="140">
        <v>26</v>
      </c>
      <c r="D134" s="140" t="s">
        <v>72</v>
      </c>
      <c r="E134" s="141" t="s">
        <v>185</v>
      </c>
      <c r="F134" s="405" t="s">
        <v>186</v>
      </c>
      <c r="G134" s="406"/>
      <c r="H134" s="406"/>
      <c r="I134" s="406"/>
      <c r="J134" s="73" t="s">
        <v>73</v>
      </c>
      <c r="K134" s="105">
        <f>K137</f>
        <v>58.25</v>
      </c>
      <c r="L134" s="407"/>
      <c r="M134" s="408"/>
      <c r="N134" s="417">
        <f>ROUND(L134*K134,2)</f>
        <v>0</v>
      </c>
      <c r="O134" s="417"/>
      <c r="P134" s="417"/>
      <c r="Q134" s="417"/>
      <c r="R134" s="79">
        <v>0</v>
      </c>
      <c r="S134" s="118">
        <f>R134*K134</f>
        <v>0</v>
      </c>
      <c r="T134" s="79">
        <v>0</v>
      </c>
      <c r="U134" s="118">
        <f>T134*K134</f>
        <v>0</v>
      </c>
      <c r="V134" s="91"/>
      <c r="AC134" s="107"/>
    </row>
    <row r="135" spans="2:29" s="1" customFormat="1" ht="13.5">
      <c r="B135" s="65"/>
      <c r="C135" s="63"/>
      <c r="D135" s="63"/>
      <c r="E135" s="240" t="s">
        <v>108</v>
      </c>
      <c r="F135" s="281"/>
      <c r="G135" s="282"/>
      <c r="H135" s="282"/>
      <c r="I135" s="282"/>
      <c r="J135" s="239"/>
      <c r="K135" s="331">
        <v>8.25</v>
      </c>
      <c r="L135" s="64"/>
      <c r="M135" s="97"/>
      <c r="N135" s="98"/>
      <c r="O135" s="98"/>
      <c r="P135" s="98"/>
      <c r="Q135" s="98"/>
      <c r="R135" s="84"/>
      <c r="S135" s="99"/>
      <c r="T135" s="84"/>
      <c r="U135" s="99"/>
      <c r="V135" s="91"/>
      <c r="AC135" s="107"/>
    </row>
    <row r="136" spans="2:29" s="1" customFormat="1" ht="13.5">
      <c r="B136" s="65"/>
      <c r="C136" s="63"/>
      <c r="D136" s="63"/>
      <c r="E136" s="240" t="s">
        <v>109</v>
      </c>
      <c r="F136" s="281"/>
      <c r="G136" s="282"/>
      <c r="H136" s="282"/>
      <c r="I136" s="282"/>
      <c r="J136" s="239"/>
      <c r="K136" s="331">
        <v>50</v>
      </c>
      <c r="L136" s="64"/>
      <c r="M136" s="97"/>
      <c r="N136" s="288"/>
      <c r="O136" s="288"/>
      <c r="P136" s="288"/>
      <c r="Q136" s="288"/>
      <c r="R136" s="84"/>
      <c r="S136" s="99"/>
      <c r="T136" s="84"/>
      <c r="U136" s="99"/>
      <c r="V136" s="91"/>
      <c r="AC136" s="107"/>
    </row>
    <row r="137" spans="2:29" s="1" customFormat="1" ht="13.5">
      <c r="B137" s="65"/>
      <c r="C137" s="63"/>
      <c r="D137" s="63"/>
      <c r="E137" s="152"/>
      <c r="F137" s="153"/>
      <c r="G137" s="154"/>
      <c r="H137" s="154"/>
      <c r="I137" s="154"/>
      <c r="J137" s="69"/>
      <c r="K137" s="334">
        <f>SUM(K135:K136)</f>
        <v>58.25</v>
      </c>
      <c r="L137" s="64"/>
      <c r="M137" s="97"/>
      <c r="N137" s="98"/>
      <c r="O137" s="98"/>
      <c r="P137" s="98"/>
      <c r="Q137" s="98"/>
      <c r="R137" s="84"/>
      <c r="S137" s="99"/>
      <c r="T137" s="84"/>
      <c r="U137" s="99"/>
      <c r="V137" s="91"/>
      <c r="AC137" s="105"/>
    </row>
    <row r="138" spans="2:29" s="1" customFormat="1" ht="13.5">
      <c r="B138" s="65"/>
      <c r="C138" s="131">
        <v>27</v>
      </c>
      <c r="D138" s="109" t="s">
        <v>80</v>
      </c>
      <c r="E138" s="132"/>
      <c r="F138" s="449" t="s">
        <v>82</v>
      </c>
      <c r="G138" s="450"/>
      <c r="H138" s="450"/>
      <c r="I138" s="450"/>
      <c r="J138" s="110" t="s">
        <v>83</v>
      </c>
      <c r="K138" s="335">
        <f>K140</f>
        <v>2</v>
      </c>
      <c r="L138" s="451"/>
      <c r="M138" s="452"/>
      <c r="N138" s="461">
        <f>ROUND(L138*K138,2)</f>
        <v>0</v>
      </c>
      <c r="O138" s="461"/>
      <c r="P138" s="461"/>
      <c r="Q138" s="461"/>
      <c r="R138" s="112">
        <v>0.001</v>
      </c>
      <c r="S138" s="122">
        <f>R138*K138</f>
        <v>0.002</v>
      </c>
      <c r="T138" s="112">
        <v>0</v>
      </c>
      <c r="U138" s="122">
        <f>T138*K138</f>
        <v>0</v>
      </c>
      <c r="V138" s="91"/>
      <c r="AC138" s="111"/>
    </row>
    <row r="139" spans="2:29" s="1" customFormat="1" ht="13.5">
      <c r="B139" s="65"/>
      <c r="C139" s="63"/>
      <c r="D139" s="63"/>
      <c r="E139" s="146" t="s">
        <v>78</v>
      </c>
      <c r="F139" s="283" t="s">
        <v>182</v>
      </c>
      <c r="G139" s="284"/>
      <c r="H139" s="284"/>
      <c r="I139" s="284"/>
      <c r="J139" s="96"/>
      <c r="K139" s="277">
        <f>ROUNDUP(K133*0.02,0)</f>
        <v>2</v>
      </c>
      <c r="L139" s="64"/>
      <c r="M139" s="97"/>
      <c r="N139" s="98"/>
      <c r="O139" s="98"/>
      <c r="P139" s="98"/>
      <c r="Q139" s="98"/>
      <c r="R139" s="84"/>
      <c r="S139" s="99"/>
      <c r="T139" s="84"/>
      <c r="U139" s="99"/>
      <c r="V139" s="91"/>
      <c r="AC139" s="106"/>
    </row>
    <row r="140" spans="2:29" s="1" customFormat="1" ht="13.5">
      <c r="B140" s="65"/>
      <c r="C140" s="63"/>
      <c r="D140" s="63"/>
      <c r="E140" s="152"/>
      <c r="F140" s="153"/>
      <c r="G140" s="154"/>
      <c r="H140" s="154"/>
      <c r="I140" s="154"/>
      <c r="J140" s="69"/>
      <c r="K140" s="334">
        <f>SUM(K139:K139)</f>
        <v>2</v>
      </c>
      <c r="L140" s="64"/>
      <c r="M140" s="97"/>
      <c r="N140" s="98"/>
      <c r="O140" s="98"/>
      <c r="P140" s="98"/>
      <c r="Q140" s="98"/>
      <c r="R140" s="84"/>
      <c r="S140" s="99"/>
      <c r="T140" s="84"/>
      <c r="U140" s="99"/>
      <c r="V140" s="91"/>
      <c r="AC140" s="107"/>
    </row>
    <row r="141" spans="2:29" s="1" customFormat="1" ht="13.5">
      <c r="B141" s="65"/>
      <c r="C141" s="157">
        <v>28</v>
      </c>
      <c r="D141" s="76" t="s">
        <v>72</v>
      </c>
      <c r="E141" s="158" t="s">
        <v>189</v>
      </c>
      <c r="F141" s="397" t="s">
        <v>190</v>
      </c>
      <c r="G141" s="398"/>
      <c r="H141" s="398"/>
      <c r="I141" s="398"/>
      <c r="J141" s="77" t="s">
        <v>73</v>
      </c>
      <c r="K141" s="104">
        <f>K144</f>
        <v>396.06</v>
      </c>
      <c r="L141" s="399"/>
      <c r="M141" s="400"/>
      <c r="N141" s="401">
        <f>ROUND(L141*K141,2)</f>
        <v>0</v>
      </c>
      <c r="O141" s="401"/>
      <c r="P141" s="401"/>
      <c r="Q141" s="401"/>
      <c r="R141" s="81">
        <v>0</v>
      </c>
      <c r="S141" s="120">
        <f>R141*K141</f>
        <v>0</v>
      </c>
      <c r="T141" s="81">
        <v>0</v>
      </c>
      <c r="U141" s="120">
        <f>T141*K141</f>
        <v>0</v>
      </c>
      <c r="V141" s="91"/>
      <c r="AC141" s="107"/>
    </row>
    <row r="142" spans="2:29" s="1" customFormat="1" ht="13.5">
      <c r="B142" s="65"/>
      <c r="C142" s="63"/>
      <c r="D142" s="63"/>
      <c r="E142" s="240" t="s">
        <v>108</v>
      </c>
      <c r="F142" s="283" t="s">
        <v>188</v>
      </c>
      <c r="G142" s="284"/>
      <c r="H142" s="284"/>
      <c r="I142" s="284"/>
      <c r="J142" s="96"/>
      <c r="K142" s="331">
        <f>96.23+0.85+1.25</f>
        <v>98.33</v>
      </c>
      <c r="L142" s="64"/>
      <c r="M142" s="97"/>
      <c r="N142" s="98"/>
      <c r="O142" s="98"/>
      <c r="P142" s="98"/>
      <c r="Q142" s="98"/>
      <c r="R142" s="84"/>
      <c r="S142" s="99"/>
      <c r="T142" s="84"/>
      <c r="U142" s="99"/>
      <c r="V142" s="67"/>
      <c r="W142" s="62"/>
      <c r="X142" s="62"/>
      <c r="Y142" s="62"/>
      <c r="Z142" s="82"/>
      <c r="AC142" s="107"/>
    </row>
    <row r="143" spans="2:29" s="1" customFormat="1" ht="13.5">
      <c r="B143" s="65"/>
      <c r="C143" s="63"/>
      <c r="D143" s="63"/>
      <c r="E143" s="240" t="s">
        <v>109</v>
      </c>
      <c r="F143" s="283" t="s">
        <v>187</v>
      </c>
      <c r="G143" s="284"/>
      <c r="H143" s="284"/>
      <c r="I143" s="284"/>
      <c r="J143" s="96"/>
      <c r="K143" s="331">
        <f>286.23+6.5+2+2+1</f>
        <v>297.73</v>
      </c>
      <c r="L143" s="64"/>
      <c r="M143" s="97"/>
      <c r="N143" s="98"/>
      <c r="O143" s="98"/>
      <c r="P143" s="98"/>
      <c r="Q143" s="98"/>
      <c r="R143" s="84"/>
      <c r="S143" s="99"/>
      <c r="T143" s="84"/>
      <c r="U143" s="99"/>
      <c r="V143" s="67"/>
      <c r="W143" s="62"/>
      <c r="X143" s="62"/>
      <c r="Y143" s="62"/>
      <c r="Z143" s="82"/>
      <c r="AC143" s="107"/>
    </row>
    <row r="144" spans="2:29" s="1" customFormat="1" ht="13.5">
      <c r="B144" s="65"/>
      <c r="C144" s="63"/>
      <c r="D144" s="63"/>
      <c r="E144" s="152"/>
      <c r="F144" s="153"/>
      <c r="G144" s="154"/>
      <c r="H144" s="154"/>
      <c r="I144" s="154"/>
      <c r="J144" s="69"/>
      <c r="K144" s="334">
        <f>SUM(K142:K143)</f>
        <v>396.06</v>
      </c>
      <c r="L144" s="64"/>
      <c r="M144" s="97"/>
      <c r="N144" s="98"/>
      <c r="O144" s="98"/>
      <c r="P144" s="98"/>
      <c r="Q144" s="98"/>
      <c r="R144" s="84"/>
      <c r="S144" s="99"/>
      <c r="T144" s="84"/>
      <c r="U144" s="99"/>
      <c r="V144" s="91"/>
      <c r="AC144" s="107"/>
    </row>
    <row r="145" spans="2:29" s="86" customFormat="1" ht="15">
      <c r="B145" s="100"/>
      <c r="C145" s="101"/>
      <c r="D145" s="88" t="s">
        <v>79</v>
      </c>
      <c r="E145" s="241"/>
      <c r="F145" s="241"/>
      <c r="G145" s="241"/>
      <c r="H145" s="241"/>
      <c r="I145" s="241"/>
      <c r="J145" s="88"/>
      <c r="K145" s="328"/>
      <c r="L145" s="88"/>
      <c r="M145" s="88"/>
      <c r="N145" s="447">
        <f>SUM(N146:Q187)</f>
        <v>0</v>
      </c>
      <c r="O145" s="448"/>
      <c r="P145" s="448"/>
      <c r="Q145" s="448"/>
      <c r="R145" s="101"/>
      <c r="S145" s="121">
        <f>SUM(S146:S187)</f>
        <v>261.28619549999996</v>
      </c>
      <c r="T145" s="101"/>
      <c r="U145" s="125">
        <f>SUM(U146:U187)</f>
        <v>0</v>
      </c>
      <c r="V145" s="102"/>
      <c r="AC145" s="350"/>
    </row>
    <row r="146" spans="2:29" s="1" customFormat="1" ht="13.5">
      <c r="B146" s="65"/>
      <c r="C146" s="135">
        <v>29</v>
      </c>
      <c r="D146" s="70" t="s">
        <v>72</v>
      </c>
      <c r="E146" s="136" t="s">
        <v>236</v>
      </c>
      <c r="F146" s="411" t="s">
        <v>237</v>
      </c>
      <c r="G146" s="412"/>
      <c r="H146" s="412"/>
      <c r="I146" s="412"/>
      <c r="J146" s="71" t="s">
        <v>73</v>
      </c>
      <c r="K146" s="276">
        <f>K150</f>
        <v>314.37</v>
      </c>
      <c r="L146" s="413"/>
      <c r="M146" s="414"/>
      <c r="N146" s="423">
        <f>ROUND(L146*K146,2)</f>
        <v>0</v>
      </c>
      <c r="O146" s="423"/>
      <c r="P146" s="423"/>
      <c r="Q146" s="423"/>
      <c r="R146" s="78">
        <v>0.441</v>
      </c>
      <c r="S146" s="117">
        <f>R146*K146</f>
        <v>138.63717</v>
      </c>
      <c r="T146" s="78">
        <v>0</v>
      </c>
      <c r="U146" s="117">
        <f>T146*K146</f>
        <v>0</v>
      </c>
      <c r="V146" s="91"/>
      <c r="Z146" s="269">
        <v>200</v>
      </c>
      <c r="AC146" s="107"/>
    </row>
    <row r="147" spans="2:29" s="1" customFormat="1" ht="13.5">
      <c r="B147" s="65"/>
      <c r="C147" s="140">
        <v>30</v>
      </c>
      <c r="D147" s="72" t="s">
        <v>72</v>
      </c>
      <c r="E147" s="141" t="s">
        <v>230</v>
      </c>
      <c r="F147" s="405" t="s">
        <v>231</v>
      </c>
      <c r="G147" s="406"/>
      <c r="H147" s="406"/>
      <c r="I147" s="406"/>
      <c r="J147" s="73" t="s">
        <v>73</v>
      </c>
      <c r="K147" s="279">
        <f>K146</f>
        <v>314.37</v>
      </c>
      <c r="L147" s="407"/>
      <c r="M147" s="408"/>
      <c r="N147" s="417">
        <f>ROUND(L147*K147,2)</f>
        <v>0</v>
      </c>
      <c r="O147" s="417"/>
      <c r="P147" s="417"/>
      <c r="Q147" s="417"/>
      <c r="R147" s="79">
        <v>0.0739</v>
      </c>
      <c r="S147" s="118">
        <f>R147*K147</f>
        <v>23.231942999999998</v>
      </c>
      <c r="T147" s="79">
        <v>0</v>
      </c>
      <c r="U147" s="118">
        <f>T147*K147</f>
        <v>0</v>
      </c>
      <c r="V147" s="91"/>
      <c r="Z147" s="270">
        <v>100</v>
      </c>
      <c r="AC147" s="107"/>
    </row>
    <row r="148" spans="2:29" s="1" customFormat="1" ht="13.5">
      <c r="B148" s="65"/>
      <c r="C148" s="145"/>
      <c r="D148" s="63"/>
      <c r="E148" s="240" t="s">
        <v>108</v>
      </c>
      <c r="F148" s="283" t="s">
        <v>238</v>
      </c>
      <c r="G148" s="284"/>
      <c r="H148" s="284"/>
      <c r="I148" s="284"/>
      <c r="J148" s="96"/>
      <c r="K148" s="301">
        <f>86.86+0.85</f>
        <v>87.71</v>
      </c>
      <c r="L148" s="64"/>
      <c r="M148" s="97"/>
      <c r="N148" s="98"/>
      <c r="O148" s="98"/>
      <c r="P148" s="98"/>
      <c r="Q148" s="98"/>
      <c r="R148" s="84"/>
      <c r="S148" s="99"/>
      <c r="T148" s="84"/>
      <c r="U148" s="99"/>
      <c r="V148" s="67"/>
      <c r="W148" s="62"/>
      <c r="X148" s="62"/>
      <c r="Y148" s="62"/>
      <c r="Z148" s="85">
        <f>SUM(Z146:Z147)</f>
        <v>300</v>
      </c>
      <c r="AC148" s="107"/>
    </row>
    <row r="149" spans="2:29" s="1" customFormat="1" ht="13.5">
      <c r="B149" s="65"/>
      <c r="C149" s="145"/>
      <c r="D149" s="63"/>
      <c r="E149" s="240" t="s">
        <v>109</v>
      </c>
      <c r="F149" s="283" t="s">
        <v>239</v>
      </c>
      <c r="G149" s="284"/>
      <c r="H149" s="284"/>
      <c r="I149" s="284"/>
      <c r="J149" s="96"/>
      <c r="K149" s="301">
        <f>224.66+2</f>
        <v>226.66</v>
      </c>
      <c r="L149" s="64"/>
      <c r="M149" s="97"/>
      <c r="N149" s="288"/>
      <c r="O149" s="288"/>
      <c r="P149" s="288"/>
      <c r="Q149" s="288"/>
      <c r="R149" s="84"/>
      <c r="S149" s="99"/>
      <c r="T149" s="84"/>
      <c r="U149" s="99"/>
      <c r="V149" s="67"/>
      <c r="W149" s="62"/>
      <c r="X149" s="62"/>
      <c r="Y149" s="62"/>
      <c r="Z149" s="62"/>
      <c r="AC149" s="107"/>
    </row>
    <row r="150" spans="2:29" s="1" customFormat="1" ht="13.5">
      <c r="B150" s="65"/>
      <c r="C150" s="145"/>
      <c r="D150" s="63"/>
      <c r="E150" s="152"/>
      <c r="F150" s="153"/>
      <c r="G150" s="154"/>
      <c r="H150" s="154"/>
      <c r="I150" s="154"/>
      <c r="J150" s="69"/>
      <c r="K150" s="278">
        <f>SUM(K148:K149)</f>
        <v>314.37</v>
      </c>
      <c r="L150" s="64"/>
      <c r="M150" s="97"/>
      <c r="N150" s="98"/>
      <c r="O150" s="98"/>
      <c r="P150" s="98"/>
      <c r="Q150" s="98"/>
      <c r="R150" s="84"/>
      <c r="S150" s="99"/>
      <c r="T150" s="84"/>
      <c r="U150" s="99"/>
      <c r="V150" s="91"/>
      <c r="AC150" s="105"/>
    </row>
    <row r="151" spans="2:29" s="1" customFormat="1" ht="13.5">
      <c r="B151" s="65"/>
      <c r="C151" s="131">
        <v>31</v>
      </c>
      <c r="D151" s="131" t="s">
        <v>80</v>
      </c>
      <c r="E151" s="299" t="s">
        <v>81</v>
      </c>
      <c r="F151" s="449" t="s">
        <v>87</v>
      </c>
      <c r="G151" s="450"/>
      <c r="H151" s="450"/>
      <c r="I151" s="450"/>
      <c r="J151" s="133" t="s">
        <v>73</v>
      </c>
      <c r="K151" s="336">
        <f>K154</f>
        <v>321</v>
      </c>
      <c r="L151" s="451"/>
      <c r="M151" s="452"/>
      <c r="N151" s="453">
        <f>ROUND(L151*K151,2)</f>
        <v>0</v>
      </c>
      <c r="O151" s="453"/>
      <c r="P151" s="453"/>
      <c r="Q151" s="453"/>
      <c r="R151" s="134">
        <v>0.126</v>
      </c>
      <c r="S151" s="122">
        <f>R151*K151</f>
        <v>40.446</v>
      </c>
      <c r="T151" s="112">
        <v>0</v>
      </c>
      <c r="U151" s="122">
        <f>T151*K151</f>
        <v>0</v>
      </c>
      <c r="V151" s="91"/>
      <c r="AC151" s="111"/>
    </row>
    <row r="152" spans="2:29" s="1" customFormat="1" ht="13.5">
      <c r="B152" s="65"/>
      <c r="C152" s="145"/>
      <c r="D152" s="63"/>
      <c r="E152" s="240" t="s">
        <v>108</v>
      </c>
      <c r="F152" s="283" t="s">
        <v>220</v>
      </c>
      <c r="G152" s="284"/>
      <c r="H152" s="284"/>
      <c r="I152" s="284"/>
      <c r="J152" s="96"/>
      <c r="K152" s="277">
        <f>ROUNDUP(86.86*1.025,0)</f>
        <v>90</v>
      </c>
      <c r="L152" s="64"/>
      <c r="M152" s="97"/>
      <c r="N152" s="98"/>
      <c r="O152" s="98"/>
      <c r="P152" s="98"/>
      <c r="Q152" s="98"/>
      <c r="R152" s="84"/>
      <c r="S152" s="99"/>
      <c r="T152" s="84"/>
      <c r="U152" s="99"/>
      <c r="V152" s="67"/>
      <c r="W152" s="62"/>
      <c r="X152" s="62"/>
      <c r="Y152" s="62"/>
      <c r="Z152" s="82"/>
      <c r="AC152" s="106"/>
    </row>
    <row r="153" spans="2:29" s="1" customFormat="1" ht="13.5">
      <c r="B153" s="65"/>
      <c r="C153" s="145"/>
      <c r="D153" s="63"/>
      <c r="E153" s="240" t="s">
        <v>109</v>
      </c>
      <c r="F153" s="283" t="s">
        <v>221</v>
      </c>
      <c r="G153" s="284"/>
      <c r="H153" s="284"/>
      <c r="I153" s="284"/>
      <c r="J153" s="96"/>
      <c r="K153" s="277">
        <f>ROUNDUP(224.66*1.025,0)</f>
        <v>231</v>
      </c>
      <c r="L153" s="64"/>
      <c r="M153" s="97"/>
      <c r="N153" s="288"/>
      <c r="O153" s="288"/>
      <c r="P153" s="288"/>
      <c r="Q153" s="288"/>
      <c r="R153" s="84"/>
      <c r="S153" s="99"/>
      <c r="T153" s="84"/>
      <c r="U153" s="99"/>
      <c r="V153" s="67"/>
      <c r="W153" s="62"/>
      <c r="X153" s="62"/>
      <c r="Y153" s="62"/>
      <c r="Z153" s="82"/>
      <c r="AC153" s="107"/>
    </row>
    <row r="154" spans="2:29" s="1" customFormat="1" ht="13.5">
      <c r="B154" s="65"/>
      <c r="C154" s="145"/>
      <c r="D154" s="63"/>
      <c r="E154" s="152"/>
      <c r="F154" s="153"/>
      <c r="G154" s="154"/>
      <c r="H154" s="154"/>
      <c r="I154" s="154"/>
      <c r="J154" s="69"/>
      <c r="K154" s="334">
        <f>SUM(K152:K153)</f>
        <v>321</v>
      </c>
      <c r="L154" s="64"/>
      <c r="M154" s="97"/>
      <c r="N154" s="98"/>
      <c r="O154" s="98"/>
      <c r="P154" s="98"/>
      <c r="Q154" s="98"/>
      <c r="R154" s="84"/>
      <c r="S154" s="99"/>
      <c r="T154" s="84"/>
      <c r="U154" s="99"/>
      <c r="V154" s="67"/>
      <c r="W154" s="62"/>
      <c r="X154" s="62"/>
      <c r="Y154" s="62"/>
      <c r="Z154" s="82"/>
      <c r="AC154" s="107"/>
    </row>
    <row r="155" spans="2:29" s="1" customFormat="1" ht="13.5" customHeight="1">
      <c r="B155" s="65"/>
      <c r="C155" s="135">
        <v>32</v>
      </c>
      <c r="D155" s="70" t="s">
        <v>72</v>
      </c>
      <c r="E155" s="136" t="s">
        <v>236</v>
      </c>
      <c r="F155" s="411" t="s">
        <v>237</v>
      </c>
      <c r="G155" s="412"/>
      <c r="H155" s="412"/>
      <c r="I155" s="412"/>
      <c r="J155" s="71" t="s">
        <v>73</v>
      </c>
      <c r="K155" s="276">
        <f>K159</f>
        <v>71.25</v>
      </c>
      <c r="L155" s="413"/>
      <c r="M155" s="414"/>
      <c r="N155" s="423">
        <f>ROUND(L155*K155,2)</f>
        <v>0</v>
      </c>
      <c r="O155" s="423"/>
      <c r="P155" s="423"/>
      <c r="Q155" s="423"/>
      <c r="R155" s="78">
        <v>0.441</v>
      </c>
      <c r="S155" s="117">
        <f>R155*K155</f>
        <v>31.42125</v>
      </c>
      <c r="T155" s="78">
        <v>0</v>
      </c>
      <c r="U155" s="117">
        <f>T155*K155</f>
        <v>0</v>
      </c>
      <c r="V155" s="91"/>
      <c r="Z155" s="269">
        <v>200</v>
      </c>
      <c r="AC155" s="107"/>
    </row>
    <row r="156" spans="2:29" s="1" customFormat="1" ht="13.5">
      <c r="B156" s="65"/>
      <c r="C156" s="140">
        <v>33</v>
      </c>
      <c r="D156" s="72" t="s">
        <v>72</v>
      </c>
      <c r="E156" s="141" t="s">
        <v>232</v>
      </c>
      <c r="F156" s="405" t="s">
        <v>233</v>
      </c>
      <c r="G156" s="406"/>
      <c r="H156" s="406"/>
      <c r="I156" s="406"/>
      <c r="J156" s="73" t="s">
        <v>73</v>
      </c>
      <c r="K156" s="279">
        <f>K155</f>
        <v>71.25</v>
      </c>
      <c r="L156" s="407"/>
      <c r="M156" s="408"/>
      <c r="N156" s="417">
        <f>ROUND(L156*K156,2)</f>
        <v>0</v>
      </c>
      <c r="O156" s="417"/>
      <c r="P156" s="417"/>
      <c r="Q156" s="417"/>
      <c r="R156" s="79">
        <v>0.0928</v>
      </c>
      <c r="S156" s="118">
        <f>R156*K156</f>
        <v>6.611999999999999</v>
      </c>
      <c r="T156" s="79">
        <v>0</v>
      </c>
      <c r="U156" s="118">
        <f>T156*K156</f>
        <v>0</v>
      </c>
      <c r="V156" s="91"/>
      <c r="Z156" s="270">
        <v>100</v>
      </c>
      <c r="AC156" s="107"/>
    </row>
    <row r="157" spans="2:29" s="1" customFormat="1" ht="13.5">
      <c r="B157" s="65"/>
      <c r="C157" s="145"/>
      <c r="D157" s="63"/>
      <c r="E157" s="240" t="s">
        <v>108</v>
      </c>
      <c r="F157" s="283" t="s">
        <v>234</v>
      </c>
      <c r="G157" s="284"/>
      <c r="H157" s="284"/>
      <c r="I157" s="284"/>
      <c r="J157" s="96"/>
      <c r="K157" s="301">
        <f>7.13+3.08</f>
        <v>10.21</v>
      </c>
      <c r="L157" s="64"/>
      <c r="M157" s="97"/>
      <c r="N157" s="288"/>
      <c r="O157" s="288"/>
      <c r="P157" s="288"/>
      <c r="Q157" s="288"/>
      <c r="R157" s="84"/>
      <c r="S157" s="99"/>
      <c r="T157" s="84"/>
      <c r="U157" s="99"/>
      <c r="V157" s="67"/>
      <c r="W157" s="62"/>
      <c r="X157" s="62"/>
      <c r="Y157" s="62"/>
      <c r="Z157" s="85">
        <f>SUM(Z155:Z156)</f>
        <v>300</v>
      </c>
      <c r="AC157" s="107"/>
    </row>
    <row r="158" spans="2:29" s="1" customFormat="1" ht="13.5">
      <c r="B158" s="65"/>
      <c r="C158" s="145"/>
      <c r="D158" s="63"/>
      <c r="E158" s="240" t="s">
        <v>109</v>
      </c>
      <c r="F158" s="283" t="s">
        <v>235</v>
      </c>
      <c r="G158" s="284"/>
      <c r="H158" s="284"/>
      <c r="I158" s="284"/>
      <c r="J158" s="96"/>
      <c r="K158" s="301">
        <f>47.24+13.8</f>
        <v>61.040000000000006</v>
      </c>
      <c r="L158" s="64"/>
      <c r="M158" s="97"/>
      <c r="N158" s="288"/>
      <c r="O158" s="288"/>
      <c r="P158" s="288"/>
      <c r="Q158" s="288"/>
      <c r="R158" s="84"/>
      <c r="S158" s="99"/>
      <c r="T158" s="84"/>
      <c r="U158" s="99"/>
      <c r="V158" s="67"/>
      <c r="W158" s="62"/>
      <c r="X158" s="62"/>
      <c r="Y158" s="62"/>
      <c r="Z158" s="62"/>
      <c r="AC158" s="107"/>
    </row>
    <row r="159" spans="2:29" s="1" customFormat="1" ht="13.5">
      <c r="B159" s="65"/>
      <c r="C159" s="145"/>
      <c r="D159" s="63"/>
      <c r="E159" s="152"/>
      <c r="F159" s="153"/>
      <c r="G159" s="154"/>
      <c r="H159" s="154"/>
      <c r="I159" s="154"/>
      <c r="J159" s="69"/>
      <c r="K159" s="278">
        <f>SUM(K157:K158)</f>
        <v>71.25</v>
      </c>
      <c r="L159" s="64"/>
      <c r="M159" s="97"/>
      <c r="N159" s="288"/>
      <c r="O159" s="288"/>
      <c r="P159" s="288"/>
      <c r="Q159" s="288"/>
      <c r="R159" s="84"/>
      <c r="S159" s="99"/>
      <c r="T159" s="84"/>
      <c r="U159" s="99"/>
      <c r="V159" s="91"/>
      <c r="AC159" s="105"/>
    </row>
    <row r="160" spans="2:29" s="1" customFormat="1" ht="13.5">
      <c r="B160" s="65"/>
      <c r="C160" s="131">
        <v>34</v>
      </c>
      <c r="D160" s="131" t="s">
        <v>80</v>
      </c>
      <c r="E160" s="299" t="s">
        <v>222</v>
      </c>
      <c r="F160" s="449" t="s">
        <v>225</v>
      </c>
      <c r="G160" s="450"/>
      <c r="H160" s="450"/>
      <c r="I160" s="450"/>
      <c r="J160" s="133" t="s">
        <v>73</v>
      </c>
      <c r="K160" s="336">
        <f>K163</f>
        <v>58</v>
      </c>
      <c r="L160" s="451"/>
      <c r="M160" s="452"/>
      <c r="N160" s="453">
        <f>ROUND(L160*K160,2)</f>
        <v>0</v>
      </c>
      <c r="O160" s="453"/>
      <c r="P160" s="453"/>
      <c r="Q160" s="453"/>
      <c r="R160" s="134">
        <v>0.17</v>
      </c>
      <c r="S160" s="122">
        <f>R160*K160</f>
        <v>9.860000000000001</v>
      </c>
      <c r="T160" s="112">
        <v>0</v>
      </c>
      <c r="U160" s="122">
        <f>T160*K160</f>
        <v>0</v>
      </c>
      <c r="V160" s="91"/>
      <c r="AC160" s="111"/>
    </row>
    <row r="161" spans="2:29" s="1" customFormat="1" ht="13.5">
      <c r="B161" s="65"/>
      <c r="C161" s="145"/>
      <c r="D161" s="63"/>
      <c r="E161" s="240" t="s">
        <v>108</v>
      </c>
      <c r="F161" s="283" t="s">
        <v>223</v>
      </c>
      <c r="G161" s="284"/>
      <c r="H161" s="284"/>
      <c r="I161" s="284"/>
      <c r="J161" s="96"/>
      <c r="K161" s="277">
        <f>ROUNDUP(7.13*1.05,0)</f>
        <v>8</v>
      </c>
      <c r="L161" s="64"/>
      <c r="M161" s="97"/>
      <c r="N161" s="288"/>
      <c r="O161" s="288"/>
      <c r="P161" s="288"/>
      <c r="Q161" s="288"/>
      <c r="R161" s="84"/>
      <c r="S161" s="99"/>
      <c r="T161" s="84"/>
      <c r="U161" s="99"/>
      <c r="V161" s="67"/>
      <c r="W161" s="62"/>
      <c r="X161" s="62"/>
      <c r="Y161" s="62"/>
      <c r="Z161" s="82"/>
      <c r="AC161" s="106"/>
    </row>
    <row r="162" spans="2:29" s="1" customFormat="1" ht="13.5">
      <c r="B162" s="65"/>
      <c r="C162" s="145"/>
      <c r="D162" s="63"/>
      <c r="E162" s="240" t="s">
        <v>109</v>
      </c>
      <c r="F162" s="283" t="s">
        <v>224</v>
      </c>
      <c r="G162" s="284"/>
      <c r="H162" s="284"/>
      <c r="I162" s="284"/>
      <c r="J162" s="96"/>
      <c r="K162" s="277">
        <f>ROUNDUP(47.24*1.05,0)</f>
        <v>50</v>
      </c>
      <c r="L162" s="64"/>
      <c r="M162" s="97"/>
      <c r="N162" s="288"/>
      <c r="O162" s="288"/>
      <c r="P162" s="288"/>
      <c r="Q162" s="288"/>
      <c r="R162" s="84"/>
      <c r="S162" s="99"/>
      <c r="T162" s="84"/>
      <c r="U162" s="99"/>
      <c r="V162" s="67"/>
      <c r="W162" s="62"/>
      <c r="X162" s="62"/>
      <c r="Y162" s="62"/>
      <c r="Z162" s="82"/>
      <c r="AC162" s="107"/>
    </row>
    <row r="163" spans="2:29" s="1" customFormat="1" ht="13.5">
      <c r="B163" s="65"/>
      <c r="C163" s="145"/>
      <c r="D163" s="63"/>
      <c r="E163" s="152"/>
      <c r="F163" s="153"/>
      <c r="G163" s="154"/>
      <c r="H163" s="154"/>
      <c r="I163" s="154"/>
      <c r="J163" s="69"/>
      <c r="K163" s="334">
        <f>SUM(K161:K162)</f>
        <v>58</v>
      </c>
      <c r="L163" s="64"/>
      <c r="M163" s="97"/>
      <c r="N163" s="288"/>
      <c r="O163" s="288"/>
      <c r="P163" s="288"/>
      <c r="Q163" s="288"/>
      <c r="R163" s="84"/>
      <c r="S163" s="99"/>
      <c r="T163" s="84"/>
      <c r="U163" s="99"/>
      <c r="V163" s="67"/>
      <c r="W163" s="62"/>
      <c r="X163" s="62"/>
      <c r="Y163" s="62"/>
      <c r="Z163" s="82"/>
      <c r="AC163" s="105"/>
    </row>
    <row r="164" spans="2:29" s="1" customFormat="1" ht="13.5">
      <c r="B164" s="65"/>
      <c r="C164" s="131">
        <v>35</v>
      </c>
      <c r="D164" s="131" t="s">
        <v>80</v>
      </c>
      <c r="E164" s="300" t="s">
        <v>226</v>
      </c>
      <c r="F164" s="449" t="s">
        <v>227</v>
      </c>
      <c r="G164" s="450"/>
      <c r="H164" s="450"/>
      <c r="I164" s="450"/>
      <c r="J164" s="133" t="s">
        <v>73</v>
      </c>
      <c r="K164" s="336">
        <f>K167</f>
        <v>19</v>
      </c>
      <c r="L164" s="451"/>
      <c r="M164" s="452"/>
      <c r="N164" s="453">
        <f>ROUND(L164*K164,2)</f>
        <v>0</v>
      </c>
      <c r="O164" s="453"/>
      <c r="P164" s="453"/>
      <c r="Q164" s="453"/>
      <c r="R164" s="134">
        <v>0.172</v>
      </c>
      <c r="S164" s="122">
        <f>R164*K164</f>
        <v>3.268</v>
      </c>
      <c r="T164" s="112">
        <v>0</v>
      </c>
      <c r="U164" s="122">
        <f>T164*K164</f>
        <v>0</v>
      </c>
      <c r="V164" s="91"/>
      <c r="AC164" s="111"/>
    </row>
    <row r="165" spans="2:29" s="1" customFormat="1" ht="13.5">
      <c r="B165" s="65"/>
      <c r="C165" s="63"/>
      <c r="D165" s="63"/>
      <c r="E165" s="240" t="s">
        <v>108</v>
      </c>
      <c r="F165" s="283" t="s">
        <v>228</v>
      </c>
      <c r="G165" s="284"/>
      <c r="H165" s="284"/>
      <c r="I165" s="284"/>
      <c r="J165" s="96"/>
      <c r="K165" s="277">
        <f>ROUNDUP(3.08*1.05,0)</f>
        <v>4</v>
      </c>
      <c r="L165" s="64"/>
      <c r="M165" s="97"/>
      <c r="N165" s="288"/>
      <c r="O165" s="288"/>
      <c r="P165" s="288"/>
      <c r="Q165" s="288"/>
      <c r="R165" s="84"/>
      <c r="S165" s="99"/>
      <c r="T165" s="84"/>
      <c r="U165" s="99"/>
      <c r="V165" s="67"/>
      <c r="W165" s="62"/>
      <c r="X165" s="62"/>
      <c r="Y165" s="62"/>
      <c r="Z165" s="82"/>
      <c r="AC165" s="106"/>
    </row>
    <row r="166" spans="2:29" s="1" customFormat="1" ht="13.5">
      <c r="B166" s="65"/>
      <c r="C166" s="63"/>
      <c r="D166" s="63"/>
      <c r="E166" s="240" t="s">
        <v>109</v>
      </c>
      <c r="F166" s="283" t="s">
        <v>229</v>
      </c>
      <c r="G166" s="284"/>
      <c r="H166" s="284"/>
      <c r="I166" s="284"/>
      <c r="J166" s="96"/>
      <c r="K166" s="277">
        <f>ROUNDUP(13.8*1.05,0)</f>
        <v>15</v>
      </c>
      <c r="L166" s="64"/>
      <c r="M166" s="97"/>
      <c r="N166" s="288"/>
      <c r="O166" s="288"/>
      <c r="P166" s="288"/>
      <c r="Q166" s="288"/>
      <c r="R166" s="84"/>
      <c r="S166" s="99"/>
      <c r="T166" s="84"/>
      <c r="U166" s="99"/>
      <c r="V166" s="67"/>
      <c r="W166" s="62"/>
      <c r="X166" s="62"/>
      <c r="Y166" s="62"/>
      <c r="Z166" s="82"/>
      <c r="AC166" s="107"/>
    </row>
    <row r="167" spans="2:29" s="1" customFormat="1" ht="13.5">
      <c r="B167" s="65"/>
      <c r="C167" s="63"/>
      <c r="D167" s="63"/>
      <c r="E167" s="152"/>
      <c r="F167" s="153"/>
      <c r="G167" s="154"/>
      <c r="H167" s="154"/>
      <c r="I167" s="154"/>
      <c r="J167" s="69"/>
      <c r="K167" s="334">
        <f>SUM(K165:K166)</f>
        <v>19</v>
      </c>
      <c r="L167" s="64"/>
      <c r="M167" s="97"/>
      <c r="N167" s="288"/>
      <c r="O167" s="288"/>
      <c r="P167" s="288"/>
      <c r="Q167" s="288"/>
      <c r="R167" s="84"/>
      <c r="S167" s="99"/>
      <c r="T167" s="84"/>
      <c r="U167" s="99"/>
      <c r="V167" s="67"/>
      <c r="W167" s="62"/>
      <c r="X167" s="62"/>
      <c r="Y167" s="62"/>
      <c r="Z167" s="82"/>
      <c r="AC167" s="107"/>
    </row>
    <row r="168" spans="2:29" s="1" customFormat="1" ht="13.5" customHeight="1">
      <c r="B168" s="65"/>
      <c r="C168" s="135">
        <v>36</v>
      </c>
      <c r="D168" s="70" t="s">
        <v>72</v>
      </c>
      <c r="E168" s="136" t="s">
        <v>236</v>
      </c>
      <c r="F168" s="411" t="s">
        <v>237</v>
      </c>
      <c r="G168" s="412"/>
      <c r="H168" s="412"/>
      <c r="I168" s="412"/>
      <c r="J168" s="71" t="s">
        <v>73</v>
      </c>
      <c r="K168" s="276">
        <f>K172</f>
        <v>8.5</v>
      </c>
      <c r="L168" s="413"/>
      <c r="M168" s="414"/>
      <c r="N168" s="423">
        <f>ROUND(L168*K168,2)</f>
        <v>0</v>
      </c>
      <c r="O168" s="423"/>
      <c r="P168" s="423"/>
      <c r="Q168" s="423"/>
      <c r="R168" s="78">
        <v>0.441</v>
      </c>
      <c r="S168" s="117">
        <f>R168*K168</f>
        <v>3.7485</v>
      </c>
      <c r="T168" s="78">
        <v>0</v>
      </c>
      <c r="U168" s="117">
        <f>T168*K168</f>
        <v>0</v>
      </c>
      <c r="V168" s="91"/>
      <c r="Z168" s="269">
        <v>200</v>
      </c>
      <c r="AC168" s="107"/>
    </row>
    <row r="169" spans="2:29" s="1" customFormat="1" ht="13.5">
      <c r="B169" s="65"/>
      <c r="C169" s="140">
        <v>37</v>
      </c>
      <c r="D169" s="72" t="s">
        <v>72</v>
      </c>
      <c r="E169" s="141" t="s">
        <v>240</v>
      </c>
      <c r="F169" s="405" t="s">
        <v>241</v>
      </c>
      <c r="G169" s="406"/>
      <c r="H169" s="406"/>
      <c r="I169" s="406"/>
      <c r="J169" s="73" t="s">
        <v>73</v>
      </c>
      <c r="K169" s="279">
        <f>K168</f>
        <v>8.5</v>
      </c>
      <c r="L169" s="407"/>
      <c r="M169" s="408"/>
      <c r="N169" s="417">
        <f>ROUND(L169*K169,2)</f>
        <v>0</v>
      </c>
      <c r="O169" s="417"/>
      <c r="P169" s="417"/>
      <c r="Q169" s="417"/>
      <c r="R169" s="79">
        <v>0.16848</v>
      </c>
      <c r="S169" s="118">
        <f>R169*K169</f>
        <v>1.43208</v>
      </c>
      <c r="T169" s="79">
        <v>0</v>
      </c>
      <c r="U169" s="118">
        <f>T169*K169</f>
        <v>0</v>
      </c>
      <c r="V169" s="91"/>
      <c r="Z169" s="271">
        <v>100</v>
      </c>
      <c r="AC169" s="107"/>
    </row>
    <row r="170" spans="2:29" s="1" customFormat="1" ht="13.5">
      <c r="B170" s="65"/>
      <c r="C170" s="63"/>
      <c r="D170" s="63"/>
      <c r="E170" s="240" t="s">
        <v>108</v>
      </c>
      <c r="F170" s="281"/>
      <c r="G170" s="282"/>
      <c r="H170" s="282"/>
      <c r="I170" s="282"/>
      <c r="J170" s="239"/>
      <c r="K170" s="331">
        <v>2</v>
      </c>
      <c r="L170" s="64"/>
      <c r="M170" s="97"/>
      <c r="N170" s="272"/>
      <c r="O170" s="272"/>
      <c r="P170" s="272"/>
      <c r="Q170" s="272"/>
      <c r="R170" s="84"/>
      <c r="S170" s="99"/>
      <c r="T170" s="84"/>
      <c r="U170" s="99"/>
      <c r="V170" s="67"/>
      <c r="W170" s="62"/>
      <c r="X170" s="62"/>
      <c r="Y170" s="62"/>
      <c r="Z170" s="85">
        <f>SUM(Z168:Z169)</f>
        <v>300</v>
      </c>
      <c r="AC170" s="107"/>
    </row>
    <row r="171" spans="2:29" s="1" customFormat="1" ht="13.5">
      <c r="B171" s="65"/>
      <c r="C171" s="63"/>
      <c r="D171" s="63"/>
      <c r="E171" s="240" t="s">
        <v>109</v>
      </c>
      <c r="F171" s="281"/>
      <c r="G171" s="282"/>
      <c r="H171" s="282"/>
      <c r="I171" s="282"/>
      <c r="J171" s="239"/>
      <c r="K171" s="331">
        <v>6.5</v>
      </c>
      <c r="L171" s="64"/>
      <c r="M171" s="97"/>
      <c r="N171" s="272"/>
      <c r="O171" s="272"/>
      <c r="P171" s="272"/>
      <c r="Q171" s="272"/>
      <c r="R171" s="84"/>
      <c r="S171" s="99"/>
      <c r="T171" s="84"/>
      <c r="U171" s="99"/>
      <c r="V171" s="91"/>
      <c r="AC171" s="107"/>
    </row>
    <row r="172" spans="2:29" s="1" customFormat="1" ht="12.75" customHeight="1">
      <c r="B172" s="65"/>
      <c r="C172" s="63"/>
      <c r="D172" s="63"/>
      <c r="E172" s="152"/>
      <c r="F172" s="153"/>
      <c r="G172" s="154"/>
      <c r="H172" s="154"/>
      <c r="I172" s="154"/>
      <c r="J172" s="155"/>
      <c r="K172" s="332">
        <f>SUM(K170:K171)</f>
        <v>8.5</v>
      </c>
      <c r="L172" s="64"/>
      <c r="M172" s="97"/>
      <c r="N172" s="288"/>
      <c r="O172" s="288"/>
      <c r="P172" s="288"/>
      <c r="Q172" s="288"/>
      <c r="R172" s="84"/>
      <c r="S172" s="99"/>
      <c r="T172" s="84"/>
      <c r="U172" s="99"/>
      <c r="V172" s="91"/>
      <c r="AC172" s="107"/>
    </row>
    <row r="173" spans="2:29" s="1" customFormat="1" ht="13.5" customHeight="1">
      <c r="B173" s="65"/>
      <c r="C173" s="135">
        <v>36</v>
      </c>
      <c r="D173" s="70" t="s">
        <v>72</v>
      </c>
      <c r="E173" s="136" t="s">
        <v>236</v>
      </c>
      <c r="F173" s="411" t="s">
        <v>237</v>
      </c>
      <c r="G173" s="412"/>
      <c r="H173" s="412"/>
      <c r="I173" s="412"/>
      <c r="J173" s="71" t="s">
        <v>73</v>
      </c>
      <c r="K173" s="276">
        <f>K176</f>
        <v>2</v>
      </c>
      <c r="L173" s="413"/>
      <c r="M173" s="414"/>
      <c r="N173" s="423">
        <f>ROUND(L173*K173,2)</f>
        <v>0</v>
      </c>
      <c r="O173" s="423"/>
      <c r="P173" s="423"/>
      <c r="Q173" s="423"/>
      <c r="R173" s="78">
        <v>0.441</v>
      </c>
      <c r="S173" s="117">
        <f>R173*K173</f>
        <v>0.882</v>
      </c>
      <c r="T173" s="78">
        <v>0</v>
      </c>
      <c r="U173" s="117">
        <f>T173*K173</f>
        <v>0</v>
      </c>
      <c r="V173" s="91"/>
      <c r="Z173" s="269">
        <v>200</v>
      </c>
      <c r="AC173" s="107"/>
    </row>
    <row r="174" spans="2:29" s="1" customFormat="1" ht="13.5">
      <c r="B174" s="65"/>
      <c r="C174" s="140">
        <v>37</v>
      </c>
      <c r="D174" s="72" t="s">
        <v>72</v>
      </c>
      <c r="E174" s="141" t="s">
        <v>242</v>
      </c>
      <c r="F174" s="405" t="s">
        <v>243</v>
      </c>
      <c r="G174" s="406"/>
      <c r="H174" s="406"/>
      <c r="I174" s="406"/>
      <c r="J174" s="73" t="s">
        <v>73</v>
      </c>
      <c r="K174" s="279">
        <f>K173</f>
        <v>2</v>
      </c>
      <c r="L174" s="407"/>
      <c r="M174" s="408"/>
      <c r="N174" s="417">
        <f>ROUND(L174*K174,2)</f>
        <v>0</v>
      </c>
      <c r="O174" s="417"/>
      <c r="P174" s="417"/>
      <c r="Q174" s="417"/>
      <c r="R174" s="79">
        <v>0.11</v>
      </c>
      <c r="S174" s="118">
        <f>R174*K174</f>
        <v>0.22</v>
      </c>
      <c r="T174" s="79">
        <v>0</v>
      </c>
      <c r="U174" s="118">
        <f>T174*K174</f>
        <v>0</v>
      </c>
      <c r="V174" s="91"/>
      <c r="Z174" s="271">
        <v>100</v>
      </c>
      <c r="AC174" s="107"/>
    </row>
    <row r="175" spans="2:29" s="1" customFormat="1" ht="13.5">
      <c r="B175" s="65"/>
      <c r="C175" s="145"/>
      <c r="D175" s="145"/>
      <c r="E175" s="240" t="s">
        <v>109</v>
      </c>
      <c r="F175" s="281"/>
      <c r="G175" s="282"/>
      <c r="H175" s="282"/>
      <c r="I175" s="282"/>
      <c r="J175" s="239"/>
      <c r="K175" s="331">
        <v>2</v>
      </c>
      <c r="L175" s="147"/>
      <c r="M175" s="148"/>
      <c r="N175" s="149"/>
      <c r="O175" s="149"/>
      <c r="P175" s="149"/>
      <c r="Q175" s="149"/>
      <c r="R175" s="150"/>
      <c r="S175" s="151"/>
      <c r="T175" s="150"/>
      <c r="U175" s="151"/>
      <c r="V175" s="67"/>
      <c r="W175" s="62"/>
      <c r="X175" s="99"/>
      <c r="Y175" s="62"/>
      <c r="Z175" s="85">
        <f>SUM(Z173:Z174)</f>
        <v>300</v>
      </c>
      <c r="AC175" s="107"/>
    </row>
    <row r="176" spans="2:29" s="1" customFormat="1" ht="13.5">
      <c r="B176" s="65"/>
      <c r="C176" s="63"/>
      <c r="D176" s="63"/>
      <c r="E176" s="152"/>
      <c r="F176" s="153"/>
      <c r="G176" s="154"/>
      <c r="H176" s="154"/>
      <c r="I176" s="154"/>
      <c r="J176" s="155"/>
      <c r="K176" s="332">
        <f>SUM(K175:K175)</f>
        <v>2</v>
      </c>
      <c r="L176" s="64"/>
      <c r="M176" s="97"/>
      <c r="N176" s="288"/>
      <c r="O176" s="288"/>
      <c r="P176" s="288"/>
      <c r="Q176" s="288"/>
      <c r="R176" s="84"/>
      <c r="S176" s="99"/>
      <c r="T176" s="84"/>
      <c r="U176" s="99"/>
      <c r="V176" s="91"/>
      <c r="AC176" s="107"/>
    </row>
    <row r="177" spans="2:29" s="1" customFormat="1" ht="13.5" customHeight="1">
      <c r="B177" s="65"/>
      <c r="C177" s="135">
        <v>38</v>
      </c>
      <c r="D177" s="70" t="s">
        <v>72</v>
      </c>
      <c r="E177" s="136" t="s">
        <v>236</v>
      </c>
      <c r="F177" s="411" t="s">
        <v>237</v>
      </c>
      <c r="G177" s="412"/>
      <c r="H177" s="412"/>
      <c r="I177" s="412"/>
      <c r="J177" s="71" t="s">
        <v>73</v>
      </c>
      <c r="K177" s="276">
        <f>K180</f>
        <v>1</v>
      </c>
      <c r="L177" s="413"/>
      <c r="M177" s="414"/>
      <c r="N177" s="423">
        <f>ROUND(L177*K177,2)</f>
        <v>0</v>
      </c>
      <c r="O177" s="423"/>
      <c r="P177" s="423"/>
      <c r="Q177" s="423"/>
      <c r="R177" s="78">
        <v>0.441</v>
      </c>
      <c r="S177" s="117">
        <f>R177*K177</f>
        <v>0.441</v>
      </c>
      <c r="T177" s="78">
        <v>0</v>
      </c>
      <c r="U177" s="117">
        <f>T177*K177</f>
        <v>0</v>
      </c>
      <c r="V177" s="91"/>
      <c r="Z177" s="269">
        <v>200</v>
      </c>
      <c r="AC177" s="107"/>
    </row>
    <row r="178" spans="1:29" ht="13.5">
      <c r="A178" s="1"/>
      <c r="B178" s="90"/>
      <c r="C178" s="308">
        <v>39</v>
      </c>
      <c r="D178" s="308" t="s">
        <v>72</v>
      </c>
      <c r="E178" s="309" t="s">
        <v>246</v>
      </c>
      <c r="F178" s="480" t="s">
        <v>247</v>
      </c>
      <c r="G178" s="480"/>
      <c r="H178" s="480"/>
      <c r="I178" s="480"/>
      <c r="J178" s="310" t="s">
        <v>73</v>
      </c>
      <c r="K178" s="337">
        <f>K183</f>
        <v>1</v>
      </c>
      <c r="L178" s="395"/>
      <c r="M178" s="418"/>
      <c r="N178" s="463">
        <f>ROUND(L178*K178,2)</f>
        <v>0</v>
      </c>
      <c r="O178" s="463"/>
      <c r="P178" s="463"/>
      <c r="Q178" s="463"/>
      <c r="R178" s="80">
        <v>0.00601</v>
      </c>
      <c r="S178" s="119">
        <f>R178*K178</f>
        <v>0.00601</v>
      </c>
      <c r="T178" s="80">
        <v>0</v>
      </c>
      <c r="U178" s="119">
        <f>T178*K178</f>
        <v>0</v>
      </c>
      <c r="V178" s="311"/>
      <c r="Z178" s="270"/>
      <c r="AC178" s="351"/>
    </row>
    <row r="179" spans="1:29" ht="13.5">
      <c r="A179" s="1"/>
      <c r="B179" s="90"/>
      <c r="C179" s="308">
        <v>40</v>
      </c>
      <c r="D179" s="308" t="s">
        <v>72</v>
      </c>
      <c r="E179" s="309" t="s">
        <v>244</v>
      </c>
      <c r="F179" s="480" t="s">
        <v>245</v>
      </c>
      <c r="G179" s="481"/>
      <c r="H179" s="481"/>
      <c r="I179" s="481"/>
      <c r="J179" s="310" t="s">
        <v>73</v>
      </c>
      <c r="K179" s="337">
        <f>K183</f>
        <v>1</v>
      </c>
      <c r="L179" s="395"/>
      <c r="M179" s="418"/>
      <c r="N179" s="463">
        <f>ROUND(L179*K179,2)</f>
        <v>0</v>
      </c>
      <c r="O179" s="463"/>
      <c r="P179" s="463"/>
      <c r="Q179" s="463"/>
      <c r="R179" s="80">
        <v>0.12966</v>
      </c>
      <c r="S179" s="119">
        <f>R179*K179</f>
        <v>0.12966</v>
      </c>
      <c r="T179" s="80">
        <v>0</v>
      </c>
      <c r="U179" s="119">
        <f>T179*K179</f>
        <v>0</v>
      </c>
      <c r="V179" s="311"/>
      <c r="Z179" s="270">
        <v>50</v>
      </c>
      <c r="AC179" s="351"/>
    </row>
    <row r="180" spans="1:29" ht="13.5">
      <c r="A180" s="1"/>
      <c r="B180" s="90"/>
      <c r="C180" s="308">
        <v>41</v>
      </c>
      <c r="D180" s="308" t="s">
        <v>72</v>
      </c>
      <c r="E180" s="309" t="s">
        <v>248</v>
      </c>
      <c r="F180" s="480" t="s">
        <v>249</v>
      </c>
      <c r="G180" s="480"/>
      <c r="H180" s="480"/>
      <c r="I180" s="480"/>
      <c r="J180" s="310" t="s">
        <v>73</v>
      </c>
      <c r="K180" s="337">
        <f>K182</f>
        <v>1</v>
      </c>
      <c r="L180" s="395"/>
      <c r="M180" s="418"/>
      <c r="N180" s="463">
        <f>ROUND(L180*K180,2)</f>
        <v>0</v>
      </c>
      <c r="O180" s="463"/>
      <c r="P180" s="463"/>
      <c r="Q180" s="463"/>
      <c r="R180" s="80">
        <v>0.00061</v>
      </c>
      <c r="S180" s="119">
        <f>R180*K180</f>
        <v>0.00061</v>
      </c>
      <c r="T180" s="80">
        <v>0</v>
      </c>
      <c r="U180" s="119">
        <f>T180*K180</f>
        <v>0</v>
      </c>
      <c r="V180" s="311"/>
      <c r="Z180" s="270"/>
      <c r="AC180" s="351"/>
    </row>
    <row r="181" spans="1:29" ht="13.5">
      <c r="A181" s="1"/>
      <c r="B181" s="90"/>
      <c r="C181" s="302">
        <v>42</v>
      </c>
      <c r="D181" s="302" t="s">
        <v>72</v>
      </c>
      <c r="E181" s="303" t="s">
        <v>244</v>
      </c>
      <c r="F181" s="482" t="s">
        <v>245</v>
      </c>
      <c r="G181" s="483"/>
      <c r="H181" s="483"/>
      <c r="I181" s="483"/>
      <c r="J181" s="304" t="s">
        <v>73</v>
      </c>
      <c r="K181" s="338">
        <f>K180</f>
        <v>1</v>
      </c>
      <c r="L181" s="407"/>
      <c r="M181" s="408"/>
      <c r="N181" s="484">
        <f>ROUND(L181*K181,2)</f>
        <v>0</v>
      </c>
      <c r="O181" s="484"/>
      <c r="P181" s="484"/>
      <c r="Q181" s="484"/>
      <c r="R181" s="79">
        <v>0.12966</v>
      </c>
      <c r="S181" s="118">
        <f>R181*K181</f>
        <v>0.12966</v>
      </c>
      <c r="T181" s="79">
        <v>0</v>
      </c>
      <c r="U181" s="118">
        <f>T181*K181</f>
        <v>0</v>
      </c>
      <c r="V181" s="311"/>
      <c r="Z181" s="271">
        <v>50</v>
      </c>
      <c r="AC181" s="351"/>
    </row>
    <row r="182" spans="1:29" ht="13.5">
      <c r="A182" s="1"/>
      <c r="B182" s="65"/>
      <c r="C182" s="63"/>
      <c r="D182" s="63"/>
      <c r="E182" s="146" t="s">
        <v>109</v>
      </c>
      <c r="F182" s="283"/>
      <c r="G182" s="284"/>
      <c r="H182" s="284"/>
      <c r="I182" s="284"/>
      <c r="J182" s="96"/>
      <c r="K182" s="277">
        <v>1</v>
      </c>
      <c r="L182" s="64"/>
      <c r="M182" s="97"/>
      <c r="N182" s="288"/>
      <c r="O182" s="288"/>
      <c r="P182" s="288"/>
      <c r="Q182" s="288"/>
      <c r="R182" s="84"/>
      <c r="S182" s="99"/>
      <c r="T182" s="84"/>
      <c r="U182" s="99"/>
      <c r="V182" s="311"/>
      <c r="Z182" s="85">
        <f>SUM(Z177:Z181)</f>
        <v>300</v>
      </c>
      <c r="AC182" s="351"/>
    </row>
    <row r="183" spans="1:29" ht="13.5">
      <c r="A183" s="1"/>
      <c r="B183" s="65"/>
      <c r="C183" s="63"/>
      <c r="D183" s="63"/>
      <c r="E183" s="305"/>
      <c r="F183" s="306"/>
      <c r="G183" s="307"/>
      <c r="H183" s="307"/>
      <c r="I183" s="307"/>
      <c r="J183" s="69"/>
      <c r="K183" s="334">
        <f>SUM(K182)</f>
        <v>1</v>
      </c>
      <c r="L183" s="64"/>
      <c r="M183" s="97"/>
      <c r="N183" s="288"/>
      <c r="O183" s="288"/>
      <c r="P183" s="288"/>
      <c r="Q183" s="288"/>
      <c r="R183" s="84"/>
      <c r="S183" s="99"/>
      <c r="T183" s="84"/>
      <c r="U183" s="99"/>
      <c r="V183" s="311"/>
      <c r="AC183" s="351"/>
    </row>
    <row r="184" spans="2:29" s="1" customFormat="1" ht="13.5" customHeight="1">
      <c r="B184" s="65"/>
      <c r="C184" s="135">
        <v>43</v>
      </c>
      <c r="D184" s="70" t="s">
        <v>72</v>
      </c>
      <c r="E184" s="136" t="s">
        <v>252</v>
      </c>
      <c r="F184" s="411" t="s">
        <v>253</v>
      </c>
      <c r="G184" s="412"/>
      <c r="H184" s="412"/>
      <c r="I184" s="412"/>
      <c r="J184" s="71" t="s">
        <v>73</v>
      </c>
      <c r="K184" s="276">
        <f>K187</f>
        <v>1.25</v>
      </c>
      <c r="L184" s="413"/>
      <c r="M184" s="414"/>
      <c r="N184" s="423">
        <f>ROUND(L184*K184,2)</f>
        <v>0</v>
      </c>
      <c r="O184" s="423"/>
      <c r="P184" s="423"/>
      <c r="Q184" s="423"/>
      <c r="R184" s="78">
        <v>0.55125</v>
      </c>
      <c r="S184" s="117">
        <f>R184*K184</f>
        <v>0.6890625</v>
      </c>
      <c r="T184" s="78">
        <v>0</v>
      </c>
      <c r="U184" s="117">
        <f>T184*K184</f>
        <v>0</v>
      </c>
      <c r="V184" s="91"/>
      <c r="Z184" s="269">
        <v>250</v>
      </c>
      <c r="AC184" s="107"/>
    </row>
    <row r="185" spans="2:29" s="1" customFormat="1" ht="13.5" customHeight="1">
      <c r="B185" s="65"/>
      <c r="C185" s="140">
        <v>44</v>
      </c>
      <c r="D185" s="72" t="s">
        <v>72</v>
      </c>
      <c r="E185" s="141" t="s">
        <v>250</v>
      </c>
      <c r="F185" s="405" t="s">
        <v>251</v>
      </c>
      <c r="G185" s="406"/>
      <c r="H185" s="406"/>
      <c r="I185" s="406"/>
      <c r="J185" s="73" t="s">
        <v>73</v>
      </c>
      <c r="K185" s="279">
        <f>K184</f>
        <v>1.25</v>
      </c>
      <c r="L185" s="407"/>
      <c r="M185" s="408"/>
      <c r="N185" s="417">
        <f>ROUND(L185*K185,2)</f>
        <v>0</v>
      </c>
      <c r="O185" s="417"/>
      <c r="P185" s="417"/>
      <c r="Q185" s="417"/>
      <c r="R185" s="79">
        <v>0.105</v>
      </c>
      <c r="S185" s="118">
        <f>R185*K185</f>
        <v>0.13125</v>
      </c>
      <c r="T185" s="79">
        <v>0</v>
      </c>
      <c r="U185" s="118">
        <f>T185*K185</f>
        <v>0</v>
      </c>
      <c r="V185" s="91"/>
      <c r="Z185" s="269">
        <v>50</v>
      </c>
      <c r="AC185" s="107"/>
    </row>
    <row r="186" spans="2:29" s="1" customFormat="1" ht="13.5">
      <c r="B186" s="65"/>
      <c r="C186" s="145"/>
      <c r="D186" s="145"/>
      <c r="E186" s="240" t="s">
        <v>108</v>
      </c>
      <c r="F186" s="281"/>
      <c r="G186" s="282"/>
      <c r="H186" s="282"/>
      <c r="I186" s="282"/>
      <c r="J186" s="239"/>
      <c r="K186" s="331">
        <v>1.25</v>
      </c>
      <c r="L186" s="147"/>
      <c r="M186" s="148"/>
      <c r="N186" s="149"/>
      <c r="O186" s="149"/>
      <c r="P186" s="149"/>
      <c r="Q186" s="149"/>
      <c r="R186" s="150"/>
      <c r="S186" s="151"/>
      <c r="T186" s="150"/>
      <c r="U186" s="151"/>
      <c r="V186" s="67"/>
      <c r="W186" s="62"/>
      <c r="X186" s="99"/>
      <c r="Y186" s="62"/>
      <c r="Z186" s="85">
        <f>SUM(Z184:Z185)</f>
        <v>300</v>
      </c>
      <c r="AC186" s="107"/>
    </row>
    <row r="187" spans="2:29" s="1" customFormat="1" ht="13.5">
      <c r="B187" s="65"/>
      <c r="C187" s="145"/>
      <c r="D187" s="145"/>
      <c r="E187" s="152"/>
      <c r="F187" s="153"/>
      <c r="G187" s="154"/>
      <c r="H187" s="154"/>
      <c r="I187" s="154"/>
      <c r="J187" s="155"/>
      <c r="K187" s="332">
        <f>SUM(K186:K186)</f>
        <v>1.25</v>
      </c>
      <c r="L187" s="147"/>
      <c r="M187" s="148"/>
      <c r="N187" s="149"/>
      <c r="O187" s="149"/>
      <c r="P187" s="149"/>
      <c r="Q187" s="149"/>
      <c r="R187" s="150"/>
      <c r="S187" s="151"/>
      <c r="T187" s="150"/>
      <c r="U187" s="151"/>
      <c r="V187" s="67"/>
      <c r="W187" s="62"/>
      <c r="X187" s="99"/>
      <c r="Y187" s="62"/>
      <c r="Z187" s="82"/>
      <c r="AC187" s="107"/>
    </row>
    <row r="188" spans="2:29" s="89" customFormat="1" ht="15">
      <c r="B188" s="94"/>
      <c r="C188" s="87"/>
      <c r="D188" s="88" t="s">
        <v>59</v>
      </c>
      <c r="E188" s="241"/>
      <c r="F188" s="241"/>
      <c r="G188" s="241"/>
      <c r="H188" s="241"/>
      <c r="I188" s="241"/>
      <c r="J188" s="88"/>
      <c r="K188" s="328"/>
      <c r="L188" s="88"/>
      <c r="M188" s="88"/>
      <c r="N188" s="456">
        <f>SUM(N189:Q237)</f>
        <v>0</v>
      </c>
      <c r="O188" s="457"/>
      <c r="P188" s="457"/>
      <c r="Q188" s="457"/>
      <c r="R188" s="87"/>
      <c r="S188" s="116">
        <f>SUM(S189:S237)</f>
        <v>81.24893960000003</v>
      </c>
      <c r="T188" s="87"/>
      <c r="U188" s="116">
        <f>SUM(U189:U237)</f>
        <v>0</v>
      </c>
      <c r="V188" s="95"/>
      <c r="W188" s="87"/>
      <c r="X188" s="87"/>
      <c r="Y188" s="87"/>
      <c r="AC188" s="350"/>
    </row>
    <row r="189" spans="2:29" s="1" customFormat="1" ht="13.5">
      <c r="B189" s="65"/>
      <c r="C189" s="157">
        <v>45</v>
      </c>
      <c r="D189" s="76" t="s">
        <v>72</v>
      </c>
      <c r="E189" s="158" t="s">
        <v>193</v>
      </c>
      <c r="F189" s="397" t="s">
        <v>194</v>
      </c>
      <c r="G189" s="398"/>
      <c r="H189" s="398"/>
      <c r="I189" s="398"/>
      <c r="J189" s="77" t="s">
        <v>74</v>
      </c>
      <c r="K189" s="104">
        <f>K192</f>
        <v>133.6</v>
      </c>
      <c r="L189" s="399"/>
      <c r="M189" s="400"/>
      <c r="N189" s="401">
        <f>ROUND(L189*K189,2)</f>
        <v>0</v>
      </c>
      <c r="O189" s="401"/>
      <c r="P189" s="401"/>
      <c r="Q189" s="401"/>
      <c r="R189" s="81">
        <v>0.1525</v>
      </c>
      <c r="S189" s="120">
        <f>R189*K189</f>
        <v>20.374</v>
      </c>
      <c r="T189" s="81">
        <v>0</v>
      </c>
      <c r="U189" s="120">
        <f>T189*K189</f>
        <v>0</v>
      </c>
      <c r="V189" s="91"/>
      <c r="W189" s="17"/>
      <c r="X189" s="17"/>
      <c r="Y189" s="17"/>
      <c r="AC189" s="107"/>
    </row>
    <row r="190" spans="2:29" s="1" customFormat="1" ht="13.5">
      <c r="B190" s="65"/>
      <c r="C190" s="145"/>
      <c r="D190" s="63"/>
      <c r="E190" s="240" t="s">
        <v>164</v>
      </c>
      <c r="F190" s="281" t="s">
        <v>165</v>
      </c>
      <c r="G190" s="282"/>
      <c r="H190" s="282"/>
      <c r="I190" s="282"/>
      <c r="J190" s="239"/>
      <c r="K190" s="331">
        <v>16</v>
      </c>
      <c r="L190" s="64"/>
      <c r="M190" s="97"/>
      <c r="N190" s="288"/>
      <c r="O190" s="288"/>
      <c r="P190" s="288"/>
      <c r="Q190" s="288"/>
      <c r="R190" s="84"/>
      <c r="S190" s="99"/>
      <c r="T190" s="84"/>
      <c r="U190" s="99"/>
      <c r="V190" s="67"/>
      <c r="W190" s="62"/>
      <c r="X190" s="62"/>
      <c r="Y190" s="62"/>
      <c r="Z190" s="82"/>
      <c r="AC190" s="107"/>
    </row>
    <row r="191" spans="2:29" s="1" customFormat="1" ht="13.5">
      <c r="B191" s="65"/>
      <c r="C191" s="145"/>
      <c r="D191" s="63"/>
      <c r="E191" s="240" t="s">
        <v>135</v>
      </c>
      <c r="F191" s="281" t="s">
        <v>202</v>
      </c>
      <c r="G191" s="282"/>
      <c r="H191" s="282"/>
      <c r="I191" s="282"/>
      <c r="J191" s="239"/>
      <c r="K191" s="331">
        <f>136.6-(4.5+4+3.5+3+4)</f>
        <v>117.6</v>
      </c>
      <c r="L191" s="64"/>
      <c r="M191" s="97"/>
      <c r="N191" s="288"/>
      <c r="O191" s="288"/>
      <c r="P191" s="288"/>
      <c r="Q191" s="288"/>
      <c r="R191" s="84"/>
      <c r="S191" s="99"/>
      <c r="T191" s="84"/>
      <c r="U191" s="99"/>
      <c r="V191" s="67"/>
      <c r="W191" s="62"/>
      <c r="X191" s="62"/>
      <c r="Y191" s="62"/>
      <c r="Z191" s="82"/>
      <c r="AC191" s="107"/>
    </row>
    <row r="192" spans="2:29" s="1" customFormat="1" ht="13.5">
      <c r="B192" s="65"/>
      <c r="C192" s="145"/>
      <c r="D192" s="63"/>
      <c r="E192" s="152"/>
      <c r="F192" s="153"/>
      <c r="G192" s="154"/>
      <c r="H192" s="154"/>
      <c r="I192" s="154"/>
      <c r="J192" s="69"/>
      <c r="K192" s="334">
        <f>SUM(K190:K191)</f>
        <v>133.6</v>
      </c>
      <c r="L192" s="64"/>
      <c r="M192" s="97"/>
      <c r="N192" s="288"/>
      <c r="O192" s="288"/>
      <c r="P192" s="288"/>
      <c r="Q192" s="288"/>
      <c r="R192" s="84"/>
      <c r="S192" s="99"/>
      <c r="T192" s="84"/>
      <c r="U192" s="99"/>
      <c r="V192" s="91"/>
      <c r="W192" s="17"/>
      <c r="X192" s="17"/>
      <c r="Y192" s="17"/>
      <c r="AC192" s="105"/>
    </row>
    <row r="193" spans="2:29" s="1" customFormat="1" ht="13.5">
      <c r="B193" s="65"/>
      <c r="C193" s="131">
        <v>46</v>
      </c>
      <c r="D193" s="109"/>
      <c r="E193" s="132"/>
      <c r="F193" s="449" t="s">
        <v>196</v>
      </c>
      <c r="G193" s="450"/>
      <c r="H193" s="450"/>
      <c r="I193" s="450"/>
      <c r="J193" s="110" t="s">
        <v>77</v>
      </c>
      <c r="K193" s="335">
        <f>K196</f>
        <v>138</v>
      </c>
      <c r="L193" s="451"/>
      <c r="M193" s="452"/>
      <c r="N193" s="461">
        <f>ROUND(L193*K193,2)</f>
        <v>0</v>
      </c>
      <c r="O193" s="461"/>
      <c r="P193" s="461"/>
      <c r="Q193" s="461"/>
      <c r="R193" s="112">
        <v>0.043</v>
      </c>
      <c r="S193" s="122">
        <f>R193*K193</f>
        <v>5.933999999999999</v>
      </c>
      <c r="T193" s="112">
        <v>0</v>
      </c>
      <c r="U193" s="122">
        <f>T193*K193</f>
        <v>0</v>
      </c>
      <c r="V193" s="91"/>
      <c r="W193" s="17"/>
      <c r="X193" s="17"/>
      <c r="Y193" s="17"/>
      <c r="AC193" s="111"/>
    </row>
    <row r="194" spans="2:29" s="1" customFormat="1" ht="13.5">
      <c r="B194" s="65"/>
      <c r="C194" s="63"/>
      <c r="D194" s="63"/>
      <c r="E194" s="240" t="s">
        <v>164</v>
      </c>
      <c r="F194" s="281" t="s">
        <v>195</v>
      </c>
      <c r="G194" s="282"/>
      <c r="H194" s="282"/>
      <c r="I194" s="282"/>
      <c r="J194" s="239"/>
      <c r="K194" s="297">
        <f>ROUNDUP(16*1.05,0)</f>
        <v>17</v>
      </c>
      <c r="L194" s="64"/>
      <c r="M194" s="97"/>
      <c r="N194" s="288"/>
      <c r="O194" s="288"/>
      <c r="P194" s="288"/>
      <c r="Q194" s="288"/>
      <c r="R194" s="84"/>
      <c r="S194" s="99"/>
      <c r="T194" s="84"/>
      <c r="U194" s="99"/>
      <c r="V194" s="67"/>
      <c r="W194" s="62"/>
      <c r="X194" s="62"/>
      <c r="Y194" s="62"/>
      <c r="Z194" s="82"/>
      <c r="AC194" s="106"/>
    </row>
    <row r="195" spans="2:29" s="1" customFormat="1" ht="13.5">
      <c r="B195" s="65"/>
      <c r="C195" s="63"/>
      <c r="D195" s="63"/>
      <c r="E195" s="240" t="s">
        <v>135</v>
      </c>
      <c r="F195" s="281" t="s">
        <v>256</v>
      </c>
      <c r="G195" s="282"/>
      <c r="H195" s="282"/>
      <c r="I195" s="282"/>
      <c r="J195" s="239"/>
      <c r="K195" s="297">
        <f>ROUNDUP((136.6-(4.5+4+6.5+3+4))*1.05,0)</f>
        <v>121</v>
      </c>
      <c r="L195" s="64"/>
      <c r="M195" s="97"/>
      <c r="N195" s="288"/>
      <c r="O195" s="288"/>
      <c r="P195" s="288"/>
      <c r="Q195" s="288"/>
      <c r="R195" s="84"/>
      <c r="S195" s="99"/>
      <c r="T195" s="84"/>
      <c r="U195" s="99"/>
      <c r="V195" s="67"/>
      <c r="W195" s="62"/>
      <c r="X195" s="62"/>
      <c r="Y195" s="62"/>
      <c r="Z195" s="82"/>
      <c r="AC195" s="107"/>
    </row>
    <row r="196" spans="2:29" s="1" customFormat="1" ht="13.5">
      <c r="B196" s="65"/>
      <c r="C196" s="63"/>
      <c r="D196" s="63"/>
      <c r="E196" s="152"/>
      <c r="F196" s="153"/>
      <c r="G196" s="154"/>
      <c r="H196" s="154"/>
      <c r="I196" s="154"/>
      <c r="J196" s="69"/>
      <c r="K196" s="334">
        <f>SUM(K194:K195)</f>
        <v>138</v>
      </c>
      <c r="L196" s="64"/>
      <c r="M196" s="97"/>
      <c r="N196" s="288"/>
      <c r="O196" s="288"/>
      <c r="P196" s="288"/>
      <c r="Q196" s="288"/>
      <c r="R196" s="84"/>
      <c r="S196" s="99"/>
      <c r="T196" s="84"/>
      <c r="U196" s="99"/>
      <c r="V196" s="91"/>
      <c r="W196" s="17"/>
      <c r="X196" s="17"/>
      <c r="Y196" s="17"/>
      <c r="AC196" s="107"/>
    </row>
    <row r="197" spans="2:29" s="1" customFormat="1" ht="13.5">
      <c r="B197" s="65"/>
      <c r="C197" s="157">
        <v>47</v>
      </c>
      <c r="D197" s="76" t="s">
        <v>72</v>
      </c>
      <c r="E197" s="158" t="s">
        <v>260</v>
      </c>
      <c r="F197" s="464" t="s">
        <v>261</v>
      </c>
      <c r="G197" s="465"/>
      <c r="H197" s="465"/>
      <c r="I197" s="466"/>
      <c r="J197" s="77" t="s">
        <v>74</v>
      </c>
      <c r="K197" s="104">
        <f>K200</f>
        <v>25.1</v>
      </c>
      <c r="L197" s="467"/>
      <c r="M197" s="468"/>
      <c r="N197" s="469">
        <f>ROUND(L197*K197,2)</f>
        <v>0</v>
      </c>
      <c r="O197" s="470"/>
      <c r="P197" s="470"/>
      <c r="Q197" s="471"/>
      <c r="R197" s="81">
        <v>0.188</v>
      </c>
      <c r="S197" s="120">
        <f>R197*K197</f>
        <v>4.7188</v>
      </c>
      <c r="T197" s="81">
        <v>0</v>
      </c>
      <c r="U197" s="120">
        <f>T197*K197</f>
        <v>0</v>
      </c>
      <c r="V197" s="91"/>
      <c r="W197" s="17"/>
      <c r="X197" s="17"/>
      <c r="Y197" s="17"/>
      <c r="AC197" s="107"/>
    </row>
    <row r="198" spans="2:29" s="1" customFormat="1" ht="13.5">
      <c r="B198" s="65"/>
      <c r="C198" s="145"/>
      <c r="D198" s="63"/>
      <c r="E198" s="240" t="s">
        <v>163</v>
      </c>
      <c r="F198" s="281" t="s">
        <v>199</v>
      </c>
      <c r="G198" s="282"/>
      <c r="H198" s="282"/>
      <c r="I198" s="282"/>
      <c r="J198" s="239"/>
      <c r="K198" s="331">
        <f>2.1+4</f>
        <v>6.1</v>
      </c>
      <c r="L198" s="64"/>
      <c r="M198" s="97"/>
      <c r="N198" s="288"/>
      <c r="O198" s="288"/>
      <c r="P198" s="288"/>
      <c r="Q198" s="288"/>
      <c r="R198" s="84"/>
      <c r="S198" s="99"/>
      <c r="T198" s="84"/>
      <c r="U198" s="99"/>
      <c r="V198" s="67"/>
      <c r="W198" s="62"/>
      <c r="X198" s="62"/>
      <c r="Y198" s="62"/>
      <c r="Z198" s="82"/>
      <c r="AC198" s="107"/>
    </row>
    <row r="199" spans="2:29" s="1" customFormat="1" ht="13.5">
      <c r="B199" s="65"/>
      <c r="C199" s="145"/>
      <c r="D199" s="63"/>
      <c r="E199" s="240" t="s">
        <v>197</v>
      </c>
      <c r="F199" s="281" t="s">
        <v>204</v>
      </c>
      <c r="G199" s="282"/>
      <c r="H199" s="282"/>
      <c r="I199" s="282"/>
      <c r="J199" s="239"/>
      <c r="K199" s="331">
        <f>4.5+4+3.5+3+4</f>
        <v>19</v>
      </c>
      <c r="L199" s="64"/>
      <c r="M199" s="97"/>
      <c r="N199" s="288"/>
      <c r="O199" s="288"/>
      <c r="P199" s="288"/>
      <c r="Q199" s="288"/>
      <c r="R199" s="84"/>
      <c r="S199" s="99"/>
      <c r="T199" s="84"/>
      <c r="U199" s="99"/>
      <c r="V199" s="67"/>
      <c r="W199" s="62"/>
      <c r="X199" s="62"/>
      <c r="Y199" s="62"/>
      <c r="Z199" s="82"/>
      <c r="AC199" s="107"/>
    </row>
    <row r="200" spans="2:29" s="1" customFormat="1" ht="13.5">
      <c r="B200" s="65"/>
      <c r="C200" s="145"/>
      <c r="D200" s="63"/>
      <c r="E200" s="152"/>
      <c r="F200" s="153"/>
      <c r="G200" s="154"/>
      <c r="H200" s="154"/>
      <c r="I200" s="154"/>
      <c r="J200" s="69"/>
      <c r="K200" s="334">
        <f>SUM(K198:K199)</f>
        <v>25.1</v>
      </c>
      <c r="L200" s="64"/>
      <c r="M200" s="97"/>
      <c r="N200" s="288"/>
      <c r="O200" s="288"/>
      <c r="P200" s="288"/>
      <c r="Q200" s="288"/>
      <c r="R200" s="84"/>
      <c r="S200" s="99"/>
      <c r="T200" s="84"/>
      <c r="U200" s="99"/>
      <c r="V200" s="91"/>
      <c r="W200" s="17"/>
      <c r="X200" s="17"/>
      <c r="Y200" s="17"/>
      <c r="AC200" s="107"/>
    </row>
    <row r="201" spans="2:29" s="1" customFormat="1" ht="13.5">
      <c r="B201" s="65"/>
      <c r="C201" s="131">
        <v>48</v>
      </c>
      <c r="D201" s="109"/>
      <c r="E201" s="132"/>
      <c r="F201" s="472" t="s">
        <v>198</v>
      </c>
      <c r="G201" s="473"/>
      <c r="H201" s="473"/>
      <c r="I201" s="474"/>
      <c r="J201" s="110" t="s">
        <v>77</v>
      </c>
      <c r="K201" s="335">
        <f>K204</f>
        <v>27</v>
      </c>
      <c r="L201" s="475"/>
      <c r="M201" s="476"/>
      <c r="N201" s="477">
        <f>ROUND(L201*K201,2)</f>
        <v>0</v>
      </c>
      <c r="O201" s="478"/>
      <c r="P201" s="478"/>
      <c r="Q201" s="479"/>
      <c r="R201" s="112">
        <v>0.048</v>
      </c>
      <c r="S201" s="122">
        <f>R201*K201</f>
        <v>1.296</v>
      </c>
      <c r="T201" s="112">
        <v>0</v>
      </c>
      <c r="U201" s="122">
        <f>T201*K201</f>
        <v>0</v>
      </c>
      <c r="V201" s="91"/>
      <c r="W201" s="17"/>
      <c r="X201" s="17"/>
      <c r="Y201" s="17"/>
      <c r="AC201" s="349"/>
    </row>
    <row r="202" spans="2:29" s="1" customFormat="1" ht="13.5">
      <c r="B202" s="65"/>
      <c r="C202" s="63"/>
      <c r="D202" s="63"/>
      <c r="E202" s="240" t="s">
        <v>164</v>
      </c>
      <c r="F202" s="281" t="s">
        <v>200</v>
      </c>
      <c r="G202" s="282"/>
      <c r="H202" s="282"/>
      <c r="I202" s="282"/>
      <c r="J202" s="239"/>
      <c r="K202" s="297">
        <f>ROUNDUP((2.1+4)*1.05,0)</f>
        <v>7</v>
      </c>
      <c r="L202" s="64"/>
      <c r="M202" s="97"/>
      <c r="N202" s="288"/>
      <c r="O202" s="288"/>
      <c r="P202" s="288"/>
      <c r="Q202" s="288"/>
      <c r="R202" s="84"/>
      <c r="S202" s="99"/>
      <c r="T202" s="84"/>
      <c r="U202" s="99"/>
      <c r="V202" s="67"/>
      <c r="W202" s="62"/>
      <c r="X202" s="62"/>
      <c r="Y202" s="62"/>
      <c r="Z202" s="82"/>
      <c r="AC202" s="107"/>
    </row>
    <row r="203" spans="2:29" s="1" customFormat="1" ht="13.5">
      <c r="B203" s="65"/>
      <c r="C203" s="63"/>
      <c r="D203" s="63"/>
      <c r="E203" s="240" t="s">
        <v>135</v>
      </c>
      <c r="F203" s="281" t="s">
        <v>201</v>
      </c>
      <c r="G203" s="282"/>
      <c r="H203" s="282"/>
      <c r="I203" s="282"/>
      <c r="J203" s="239"/>
      <c r="K203" s="297">
        <f>ROUNDUP((4.5+4+3.5+3+4)*1.05,0)</f>
        <v>20</v>
      </c>
      <c r="L203" s="64"/>
      <c r="M203" s="97"/>
      <c r="N203" s="288"/>
      <c r="O203" s="288"/>
      <c r="P203" s="288"/>
      <c r="Q203" s="288"/>
      <c r="R203" s="84"/>
      <c r="S203" s="99"/>
      <c r="T203" s="84"/>
      <c r="U203" s="99"/>
      <c r="V203" s="67"/>
      <c r="W203" s="62"/>
      <c r="X203" s="62"/>
      <c r="Y203" s="62"/>
      <c r="Z203" s="82"/>
      <c r="AC203" s="107"/>
    </row>
    <row r="204" spans="2:29" s="1" customFormat="1" ht="13.5">
      <c r="B204" s="65"/>
      <c r="C204" s="63"/>
      <c r="D204" s="63"/>
      <c r="E204" s="152"/>
      <c r="F204" s="153"/>
      <c r="G204" s="154"/>
      <c r="H204" s="154"/>
      <c r="I204" s="154"/>
      <c r="J204" s="69"/>
      <c r="K204" s="334">
        <f>SUM(K202:K203)</f>
        <v>27</v>
      </c>
      <c r="L204" s="64"/>
      <c r="M204" s="97"/>
      <c r="N204" s="288"/>
      <c r="O204" s="288"/>
      <c r="P204" s="288"/>
      <c r="Q204" s="288"/>
      <c r="R204" s="84"/>
      <c r="S204" s="99"/>
      <c r="T204" s="84"/>
      <c r="U204" s="99"/>
      <c r="V204" s="91"/>
      <c r="W204" s="17"/>
      <c r="X204" s="17"/>
      <c r="Y204" s="17"/>
      <c r="AC204" s="107"/>
    </row>
    <row r="205" spans="2:29" s="1" customFormat="1" ht="13.5">
      <c r="B205" s="65"/>
      <c r="C205" s="157">
        <v>49</v>
      </c>
      <c r="D205" s="76" t="s">
        <v>72</v>
      </c>
      <c r="E205" s="158" t="s">
        <v>205</v>
      </c>
      <c r="F205" s="464" t="s">
        <v>206</v>
      </c>
      <c r="G205" s="465"/>
      <c r="H205" s="465"/>
      <c r="I205" s="466"/>
      <c r="J205" s="77" t="s">
        <v>74</v>
      </c>
      <c r="K205" s="104">
        <f>K207</f>
        <v>2.7</v>
      </c>
      <c r="L205" s="467"/>
      <c r="M205" s="468"/>
      <c r="N205" s="469">
        <f>ROUND(L205*K205,2)</f>
        <v>0</v>
      </c>
      <c r="O205" s="470"/>
      <c r="P205" s="470"/>
      <c r="Q205" s="471"/>
      <c r="R205" s="81">
        <v>0.18806</v>
      </c>
      <c r="S205" s="120">
        <f>R205*K205</f>
        <v>0.507762</v>
      </c>
      <c r="T205" s="81">
        <v>0</v>
      </c>
      <c r="U205" s="120">
        <f>T205*K205</f>
        <v>0</v>
      </c>
      <c r="V205" s="91"/>
      <c r="W205" s="17"/>
      <c r="X205" s="17"/>
      <c r="Y205" s="17"/>
      <c r="AC205" s="107"/>
    </row>
    <row r="206" spans="2:29" s="1" customFormat="1" ht="13.5">
      <c r="B206" s="65"/>
      <c r="C206" s="145"/>
      <c r="D206" s="63"/>
      <c r="E206" s="240" t="s">
        <v>132</v>
      </c>
      <c r="F206" s="281" t="s">
        <v>258</v>
      </c>
      <c r="G206" s="282"/>
      <c r="H206" s="282"/>
      <c r="I206" s="282"/>
      <c r="J206" s="239"/>
      <c r="K206" s="331">
        <v>2.7</v>
      </c>
      <c r="L206" s="64"/>
      <c r="M206" s="97"/>
      <c r="N206" s="288"/>
      <c r="O206" s="288"/>
      <c r="P206" s="288"/>
      <c r="Q206" s="288"/>
      <c r="R206" s="84"/>
      <c r="S206" s="99"/>
      <c r="T206" s="84"/>
      <c r="U206" s="99"/>
      <c r="V206" s="67"/>
      <c r="W206" s="62"/>
      <c r="X206" s="62"/>
      <c r="Y206" s="62"/>
      <c r="Z206" s="82"/>
      <c r="AC206" s="107"/>
    </row>
    <row r="207" spans="2:29" s="1" customFormat="1" ht="13.5">
      <c r="B207" s="65"/>
      <c r="C207" s="145"/>
      <c r="D207" s="63"/>
      <c r="E207" s="152"/>
      <c r="F207" s="153"/>
      <c r="G207" s="154"/>
      <c r="H207" s="154"/>
      <c r="I207" s="154"/>
      <c r="J207" s="69"/>
      <c r="K207" s="334">
        <f>SUM(K206:K206)</f>
        <v>2.7</v>
      </c>
      <c r="L207" s="64"/>
      <c r="M207" s="97"/>
      <c r="N207" s="288"/>
      <c r="O207" s="288"/>
      <c r="P207" s="288"/>
      <c r="Q207" s="288"/>
      <c r="R207" s="84"/>
      <c r="S207" s="99"/>
      <c r="T207" s="84"/>
      <c r="U207" s="99"/>
      <c r="V207" s="91"/>
      <c r="W207" s="17"/>
      <c r="X207" s="17"/>
      <c r="Y207" s="17"/>
      <c r="AC207" s="107"/>
    </row>
    <row r="208" spans="2:29" s="1" customFormat="1" ht="13.5">
      <c r="B208" s="65"/>
      <c r="C208" s="157">
        <v>50</v>
      </c>
      <c r="D208" s="76" t="s">
        <v>72</v>
      </c>
      <c r="E208" s="158" t="s">
        <v>211</v>
      </c>
      <c r="F208" s="397" t="s">
        <v>212</v>
      </c>
      <c r="G208" s="398"/>
      <c r="H208" s="398"/>
      <c r="I208" s="398"/>
      <c r="J208" s="77" t="s">
        <v>75</v>
      </c>
      <c r="K208" s="104">
        <f>K214</f>
        <v>16.14</v>
      </c>
      <c r="L208" s="399"/>
      <c r="M208" s="400"/>
      <c r="N208" s="401">
        <f>ROUND(L208*K208,2)</f>
        <v>0</v>
      </c>
      <c r="O208" s="401"/>
      <c r="P208" s="401"/>
      <c r="Q208" s="401"/>
      <c r="R208" s="81">
        <v>2.25634</v>
      </c>
      <c r="S208" s="120">
        <f>R208*K208</f>
        <v>36.4173276</v>
      </c>
      <c r="T208" s="81">
        <v>0</v>
      </c>
      <c r="U208" s="120">
        <f>T208*K208</f>
        <v>0</v>
      </c>
      <c r="V208" s="91"/>
      <c r="AC208" s="107"/>
    </row>
    <row r="209" spans="2:29" s="1" customFormat="1" ht="13.5">
      <c r="B209" s="65"/>
      <c r="C209" s="145"/>
      <c r="D209" s="63"/>
      <c r="E209" s="240" t="s">
        <v>164</v>
      </c>
      <c r="F209" s="281" t="s">
        <v>207</v>
      </c>
      <c r="G209" s="282"/>
      <c r="H209" s="282"/>
      <c r="I209" s="282"/>
      <c r="J209" s="239"/>
      <c r="K209" s="298">
        <f>16*0.1</f>
        <v>1.6</v>
      </c>
      <c r="L209" s="64"/>
      <c r="M209" s="97"/>
      <c r="N209" s="288"/>
      <c r="O209" s="288"/>
      <c r="P209" s="288"/>
      <c r="Q209" s="288"/>
      <c r="R209" s="84"/>
      <c r="S209" s="99"/>
      <c r="T209" s="84"/>
      <c r="U209" s="99"/>
      <c r="V209" s="67"/>
      <c r="W209" s="62"/>
      <c r="X209" s="62"/>
      <c r="Y209" s="62"/>
      <c r="Z209" s="82"/>
      <c r="AC209" s="107"/>
    </row>
    <row r="210" spans="2:29" s="1" customFormat="1" ht="13.5">
      <c r="B210" s="65"/>
      <c r="C210" s="145"/>
      <c r="D210" s="63"/>
      <c r="E210" s="240" t="s">
        <v>135</v>
      </c>
      <c r="F210" s="281" t="s">
        <v>208</v>
      </c>
      <c r="G210" s="282"/>
      <c r="H210" s="282"/>
      <c r="I210" s="282"/>
      <c r="J210" s="239"/>
      <c r="K210" s="298">
        <f>(136.6-(4.5+4+3.5+3+4))*0.1</f>
        <v>11.76</v>
      </c>
      <c r="L210" s="64"/>
      <c r="M210" s="97"/>
      <c r="N210" s="288"/>
      <c r="O210" s="288"/>
      <c r="P210" s="288"/>
      <c r="Q210" s="288"/>
      <c r="R210" s="84"/>
      <c r="S210" s="99"/>
      <c r="T210" s="84"/>
      <c r="U210" s="99"/>
      <c r="V210" s="67"/>
      <c r="W210" s="62"/>
      <c r="X210" s="62"/>
      <c r="Y210" s="62"/>
      <c r="Z210" s="82"/>
      <c r="AC210" s="107"/>
    </row>
    <row r="211" spans="2:29" s="1" customFormat="1" ht="13.5">
      <c r="B211" s="65"/>
      <c r="C211" s="145"/>
      <c r="D211" s="63"/>
      <c r="E211" s="240" t="s">
        <v>163</v>
      </c>
      <c r="F211" s="281" t="s">
        <v>209</v>
      </c>
      <c r="G211" s="282"/>
      <c r="H211" s="282"/>
      <c r="I211" s="282"/>
      <c r="J211" s="239"/>
      <c r="K211" s="298">
        <f>(2.1+4)*0.1</f>
        <v>0.61</v>
      </c>
      <c r="L211" s="64"/>
      <c r="M211" s="97"/>
      <c r="N211" s="288"/>
      <c r="O211" s="288"/>
      <c r="P211" s="288"/>
      <c r="Q211" s="288"/>
      <c r="R211" s="84"/>
      <c r="S211" s="99"/>
      <c r="T211" s="84"/>
      <c r="U211" s="99"/>
      <c r="V211" s="67"/>
      <c r="W211" s="62"/>
      <c r="X211" s="62"/>
      <c r="Y211" s="62"/>
      <c r="Z211" s="82"/>
      <c r="AC211" s="107"/>
    </row>
    <row r="212" spans="2:29" s="1" customFormat="1" ht="13.5">
      <c r="B212" s="65"/>
      <c r="C212" s="145"/>
      <c r="D212" s="63"/>
      <c r="E212" s="240" t="s">
        <v>197</v>
      </c>
      <c r="F212" s="281" t="s">
        <v>210</v>
      </c>
      <c r="G212" s="282"/>
      <c r="H212" s="282"/>
      <c r="I212" s="282"/>
      <c r="J212" s="239"/>
      <c r="K212" s="298">
        <f>(4.5+4+3.5+3+4)*0.1</f>
        <v>1.9000000000000001</v>
      </c>
      <c r="L212" s="64"/>
      <c r="M212" s="97"/>
      <c r="N212" s="288"/>
      <c r="O212" s="288"/>
      <c r="P212" s="288"/>
      <c r="Q212" s="288"/>
      <c r="R212" s="84"/>
      <c r="S212" s="99"/>
      <c r="T212" s="84"/>
      <c r="U212" s="99"/>
      <c r="V212" s="67"/>
      <c r="W212" s="62"/>
      <c r="X212" s="62"/>
      <c r="Y212" s="62"/>
      <c r="Z212" s="82"/>
      <c r="AC212" s="107"/>
    </row>
    <row r="213" spans="2:29" s="1" customFormat="1" ht="13.5">
      <c r="B213" s="65"/>
      <c r="C213" s="145"/>
      <c r="D213" s="63"/>
      <c r="E213" s="240" t="s">
        <v>132</v>
      </c>
      <c r="F213" s="281" t="s">
        <v>257</v>
      </c>
      <c r="G213" s="282"/>
      <c r="H213" s="282"/>
      <c r="I213" s="282"/>
      <c r="J213" s="239"/>
      <c r="K213" s="298">
        <f>2.7*0.1</f>
        <v>0.27</v>
      </c>
      <c r="L213" s="64"/>
      <c r="M213" s="97"/>
      <c r="N213" s="288"/>
      <c r="O213" s="288"/>
      <c r="P213" s="288"/>
      <c r="Q213" s="288"/>
      <c r="R213" s="84"/>
      <c r="S213" s="99"/>
      <c r="T213" s="84"/>
      <c r="U213" s="99"/>
      <c r="V213" s="67"/>
      <c r="W213" s="62"/>
      <c r="X213" s="62"/>
      <c r="Y213" s="62"/>
      <c r="Z213" s="82"/>
      <c r="AC213" s="107"/>
    </row>
    <row r="214" spans="2:29" s="1" customFormat="1" ht="13.5">
      <c r="B214" s="65"/>
      <c r="C214" s="63"/>
      <c r="D214" s="63"/>
      <c r="E214" s="152"/>
      <c r="F214" s="153"/>
      <c r="G214" s="154"/>
      <c r="H214" s="154"/>
      <c r="I214" s="154"/>
      <c r="J214" s="69"/>
      <c r="K214" s="334">
        <f>SUM(K209:K213)</f>
        <v>16.14</v>
      </c>
      <c r="L214" s="64"/>
      <c r="M214" s="97"/>
      <c r="N214" s="98"/>
      <c r="O214" s="98"/>
      <c r="P214" s="98"/>
      <c r="Q214" s="98"/>
      <c r="R214" s="84"/>
      <c r="S214" s="99"/>
      <c r="T214" s="84"/>
      <c r="U214" s="99"/>
      <c r="V214" s="67"/>
      <c r="W214" s="62"/>
      <c r="X214" s="62"/>
      <c r="Y214" s="62"/>
      <c r="Z214" s="68"/>
      <c r="AC214" s="107"/>
    </row>
    <row r="215" spans="2:29" s="1" customFormat="1" ht="13.5">
      <c r="B215" s="65"/>
      <c r="C215" s="157">
        <v>51</v>
      </c>
      <c r="D215" s="157" t="s">
        <v>72</v>
      </c>
      <c r="E215" s="158" t="s">
        <v>213</v>
      </c>
      <c r="F215" s="397" t="s">
        <v>214</v>
      </c>
      <c r="G215" s="398"/>
      <c r="H215" s="398"/>
      <c r="I215" s="398"/>
      <c r="J215" s="77" t="s">
        <v>85</v>
      </c>
      <c r="K215" s="104">
        <f>K217</f>
        <v>3</v>
      </c>
      <c r="L215" s="399"/>
      <c r="M215" s="400"/>
      <c r="N215" s="401">
        <f>ROUND(L215*K215,2)</f>
        <v>0</v>
      </c>
      <c r="O215" s="401"/>
      <c r="P215" s="401"/>
      <c r="Q215" s="401"/>
      <c r="R215" s="81">
        <v>0.43094</v>
      </c>
      <c r="S215" s="120">
        <f>R215*K215</f>
        <v>1.2928199999999999</v>
      </c>
      <c r="T215" s="81">
        <v>0</v>
      </c>
      <c r="U215" s="120">
        <f>T215*K215</f>
        <v>0</v>
      </c>
      <c r="V215" s="91"/>
      <c r="AC215" s="107"/>
    </row>
    <row r="216" spans="2:29" s="1" customFormat="1" ht="13.5">
      <c r="B216" s="65"/>
      <c r="C216" s="145"/>
      <c r="D216" s="145"/>
      <c r="E216" s="240" t="s">
        <v>108</v>
      </c>
      <c r="F216" s="283"/>
      <c r="G216" s="284"/>
      <c r="H216" s="284"/>
      <c r="I216" s="284"/>
      <c r="J216" s="96"/>
      <c r="K216" s="277">
        <v>3</v>
      </c>
      <c r="L216" s="64"/>
      <c r="M216" s="97"/>
      <c r="N216" s="237"/>
      <c r="O216" s="237"/>
      <c r="P216" s="237"/>
      <c r="Q216" s="237"/>
      <c r="R216" s="84"/>
      <c r="S216" s="99"/>
      <c r="T216" s="84"/>
      <c r="U216" s="99"/>
      <c r="V216" s="67"/>
      <c r="W216" s="62"/>
      <c r="X216" s="62"/>
      <c r="Y216" s="62"/>
      <c r="Z216" s="82"/>
      <c r="AC216" s="107"/>
    </row>
    <row r="217" spans="2:29" s="1" customFormat="1" ht="13.5">
      <c r="B217" s="65"/>
      <c r="C217" s="145"/>
      <c r="D217" s="145"/>
      <c r="E217" s="152"/>
      <c r="F217" s="153"/>
      <c r="G217" s="154"/>
      <c r="H217" s="154"/>
      <c r="I217" s="154"/>
      <c r="J217" s="69"/>
      <c r="K217" s="334">
        <f>SUM(K216:K216)</f>
        <v>3</v>
      </c>
      <c r="L217" s="64"/>
      <c r="M217" s="97"/>
      <c r="N217" s="237"/>
      <c r="O217" s="237"/>
      <c r="P217" s="237"/>
      <c r="Q217" s="237"/>
      <c r="R217" s="84"/>
      <c r="S217" s="99"/>
      <c r="T217" s="84"/>
      <c r="U217" s="99"/>
      <c r="V217" s="67"/>
      <c r="W217" s="62"/>
      <c r="X217" s="62"/>
      <c r="Y217" s="62"/>
      <c r="Z217" s="68"/>
      <c r="AC217" s="107"/>
    </row>
    <row r="218" spans="2:29" s="1" customFormat="1" ht="13.5">
      <c r="B218" s="65"/>
      <c r="C218" s="157">
        <v>52</v>
      </c>
      <c r="D218" s="157" t="s">
        <v>72</v>
      </c>
      <c r="E218" s="158" t="s">
        <v>215</v>
      </c>
      <c r="F218" s="397" t="s">
        <v>216</v>
      </c>
      <c r="G218" s="398"/>
      <c r="H218" s="398"/>
      <c r="I218" s="398"/>
      <c r="J218" s="77" t="s">
        <v>85</v>
      </c>
      <c r="K218" s="104">
        <f>K221</f>
        <v>11</v>
      </c>
      <c r="L218" s="399"/>
      <c r="M218" s="400"/>
      <c r="N218" s="401">
        <f>ROUND(L218*K218,2)</f>
        <v>0</v>
      </c>
      <c r="O218" s="401"/>
      <c r="P218" s="401"/>
      <c r="Q218" s="401"/>
      <c r="R218" s="81">
        <v>0.3159</v>
      </c>
      <c r="S218" s="120">
        <f>R218*K218</f>
        <v>3.4749000000000003</v>
      </c>
      <c r="T218" s="81">
        <v>0</v>
      </c>
      <c r="U218" s="120">
        <f>T218*K218</f>
        <v>0</v>
      </c>
      <c r="V218" s="91"/>
      <c r="AC218" s="107"/>
    </row>
    <row r="219" spans="2:29" s="1" customFormat="1" ht="13.5">
      <c r="B219" s="65"/>
      <c r="C219" s="63"/>
      <c r="D219" s="63"/>
      <c r="E219" s="240" t="s">
        <v>108</v>
      </c>
      <c r="F219" s="283"/>
      <c r="G219" s="284"/>
      <c r="H219" s="284"/>
      <c r="I219" s="284"/>
      <c r="J219" s="96"/>
      <c r="K219" s="277">
        <v>4</v>
      </c>
      <c r="L219" s="64"/>
      <c r="M219" s="97"/>
      <c r="N219" s="288"/>
      <c r="O219" s="288"/>
      <c r="P219" s="288"/>
      <c r="Q219" s="288"/>
      <c r="R219" s="84"/>
      <c r="S219" s="99"/>
      <c r="T219" s="84"/>
      <c r="U219" s="99"/>
      <c r="V219" s="67"/>
      <c r="W219" s="62"/>
      <c r="X219" s="62"/>
      <c r="Y219" s="62"/>
      <c r="Z219" s="82"/>
      <c r="AC219" s="107"/>
    </row>
    <row r="220" spans="2:29" s="1" customFormat="1" ht="13.5">
      <c r="B220" s="65"/>
      <c r="C220" s="63"/>
      <c r="D220" s="63"/>
      <c r="E220" s="240" t="s">
        <v>109</v>
      </c>
      <c r="F220" s="283"/>
      <c r="G220" s="284"/>
      <c r="H220" s="284"/>
      <c r="I220" s="284"/>
      <c r="J220" s="96"/>
      <c r="K220" s="277">
        <v>7</v>
      </c>
      <c r="L220" s="64"/>
      <c r="M220" s="97"/>
      <c r="N220" s="288"/>
      <c r="O220" s="288"/>
      <c r="P220" s="288"/>
      <c r="Q220" s="288"/>
      <c r="R220" s="84"/>
      <c r="S220" s="99"/>
      <c r="T220" s="84"/>
      <c r="U220" s="99"/>
      <c r="V220" s="67"/>
      <c r="W220" s="62"/>
      <c r="X220" s="62"/>
      <c r="Y220" s="62"/>
      <c r="Z220" s="82"/>
      <c r="AC220" s="107"/>
    </row>
    <row r="221" spans="2:29" s="1" customFormat="1" ht="13.5">
      <c r="B221" s="65"/>
      <c r="C221" s="63"/>
      <c r="D221" s="63"/>
      <c r="E221" s="152"/>
      <c r="F221" s="153"/>
      <c r="G221" s="154"/>
      <c r="H221" s="154"/>
      <c r="I221" s="154"/>
      <c r="J221" s="69"/>
      <c r="K221" s="334">
        <f>SUM(K219:K220)</f>
        <v>11</v>
      </c>
      <c r="L221" s="64"/>
      <c r="M221" s="97"/>
      <c r="N221" s="288"/>
      <c r="O221" s="288"/>
      <c r="P221" s="288"/>
      <c r="Q221" s="288"/>
      <c r="R221" s="84"/>
      <c r="S221" s="99"/>
      <c r="T221" s="84"/>
      <c r="U221" s="99"/>
      <c r="V221" s="67"/>
      <c r="W221" s="62"/>
      <c r="X221" s="62"/>
      <c r="Y221" s="62"/>
      <c r="Z221" s="68"/>
      <c r="AC221" s="107"/>
    </row>
    <row r="222" spans="2:29" s="1" customFormat="1" ht="13.5">
      <c r="B222" s="65"/>
      <c r="C222" s="76">
        <v>53</v>
      </c>
      <c r="D222" s="76" t="s">
        <v>72</v>
      </c>
      <c r="E222" s="158" t="s">
        <v>217</v>
      </c>
      <c r="F222" s="397" t="s">
        <v>218</v>
      </c>
      <c r="G222" s="398"/>
      <c r="H222" s="398"/>
      <c r="I222" s="398"/>
      <c r="J222" s="77" t="s">
        <v>74</v>
      </c>
      <c r="K222" s="104">
        <f>K224</f>
        <v>7.2</v>
      </c>
      <c r="L222" s="399"/>
      <c r="M222" s="400"/>
      <c r="N222" s="401">
        <f>ROUND(L222*K222,2)</f>
        <v>0</v>
      </c>
      <c r="O222" s="401"/>
      <c r="P222" s="401"/>
      <c r="Q222" s="401"/>
      <c r="R222" s="81">
        <v>0.0001</v>
      </c>
      <c r="S222" s="120">
        <f>R222*K222</f>
        <v>0.00072</v>
      </c>
      <c r="T222" s="81">
        <v>0</v>
      </c>
      <c r="U222" s="120">
        <f>T222*K222</f>
        <v>0</v>
      </c>
      <c r="V222" s="91"/>
      <c r="AC222" s="107"/>
    </row>
    <row r="223" spans="2:29" s="1" customFormat="1" ht="13.5">
      <c r="B223" s="65"/>
      <c r="C223" s="63"/>
      <c r="D223" s="63"/>
      <c r="E223" s="240" t="s">
        <v>109</v>
      </c>
      <c r="F223" s="283" t="s">
        <v>259</v>
      </c>
      <c r="G223" s="284"/>
      <c r="H223" s="284"/>
      <c r="I223" s="284"/>
      <c r="J223" s="96"/>
      <c r="K223" s="277">
        <f>(3.2+0.4)*2</f>
        <v>7.2</v>
      </c>
      <c r="L223" s="64"/>
      <c r="M223" s="97"/>
      <c r="N223" s="288"/>
      <c r="O223" s="288"/>
      <c r="P223" s="288"/>
      <c r="Q223" s="288"/>
      <c r="R223" s="84"/>
      <c r="S223" s="99"/>
      <c r="T223" s="84"/>
      <c r="U223" s="99"/>
      <c r="V223" s="67"/>
      <c r="W223" s="62"/>
      <c r="X223" s="62"/>
      <c r="Y223" s="62"/>
      <c r="Z223" s="82"/>
      <c r="AC223" s="107"/>
    </row>
    <row r="224" spans="2:29" s="1" customFormat="1" ht="13.5">
      <c r="B224" s="65"/>
      <c r="C224" s="63"/>
      <c r="D224" s="63"/>
      <c r="E224" s="152"/>
      <c r="F224" s="153"/>
      <c r="G224" s="154"/>
      <c r="H224" s="154"/>
      <c r="I224" s="154"/>
      <c r="J224" s="69"/>
      <c r="K224" s="334">
        <f>SUM(K223:K223)</f>
        <v>7.2</v>
      </c>
      <c r="L224" s="64"/>
      <c r="M224" s="97"/>
      <c r="N224" s="288"/>
      <c r="O224" s="288"/>
      <c r="P224" s="288"/>
      <c r="Q224" s="288"/>
      <c r="R224" s="84"/>
      <c r="S224" s="99"/>
      <c r="T224" s="84"/>
      <c r="U224" s="99"/>
      <c r="V224" s="67"/>
      <c r="W224" s="62"/>
      <c r="X224" s="62"/>
      <c r="Y224" s="62"/>
      <c r="Z224" s="68"/>
      <c r="AC224" s="107"/>
    </row>
    <row r="225" spans="2:29" s="1" customFormat="1" ht="13.5">
      <c r="B225" s="65"/>
      <c r="C225" s="76">
        <v>54</v>
      </c>
      <c r="D225" s="76" t="s">
        <v>72</v>
      </c>
      <c r="E225" s="158" t="s">
        <v>149</v>
      </c>
      <c r="F225" s="397" t="s">
        <v>150</v>
      </c>
      <c r="G225" s="398"/>
      <c r="H225" s="398"/>
      <c r="I225" s="398"/>
      <c r="J225" s="77" t="s">
        <v>73</v>
      </c>
      <c r="K225" s="104">
        <f>K227</f>
        <v>7.2</v>
      </c>
      <c r="L225" s="399"/>
      <c r="M225" s="400"/>
      <c r="N225" s="401">
        <f>ROUND(L225*K225,2)</f>
        <v>0</v>
      </c>
      <c r="O225" s="401"/>
      <c r="P225" s="401"/>
      <c r="Q225" s="401"/>
      <c r="R225" s="81">
        <v>0.31108</v>
      </c>
      <c r="S225" s="120">
        <f>R225*K225</f>
        <v>2.2397760000000004</v>
      </c>
      <c r="T225" s="81">
        <v>0</v>
      </c>
      <c r="U225" s="120">
        <f>T225*K225</f>
        <v>0</v>
      </c>
      <c r="V225" s="91"/>
      <c r="AC225" s="107"/>
    </row>
    <row r="226" spans="2:29" s="1" customFormat="1" ht="13.5">
      <c r="B226" s="65"/>
      <c r="C226" s="63"/>
      <c r="D226" s="63"/>
      <c r="E226" s="240" t="s">
        <v>109</v>
      </c>
      <c r="F226" s="283" t="s">
        <v>151</v>
      </c>
      <c r="G226" s="284"/>
      <c r="H226" s="284"/>
      <c r="I226" s="284"/>
      <c r="J226" s="96"/>
      <c r="K226" s="277">
        <f>(3.2+0.4)*2</f>
        <v>7.2</v>
      </c>
      <c r="L226" s="64"/>
      <c r="M226" s="97"/>
      <c r="N226" s="287"/>
      <c r="O226" s="287"/>
      <c r="P226" s="287"/>
      <c r="Q226" s="287"/>
      <c r="R226" s="84"/>
      <c r="S226" s="99"/>
      <c r="T226" s="84"/>
      <c r="U226" s="99"/>
      <c r="V226" s="67"/>
      <c r="W226" s="62"/>
      <c r="X226" s="62"/>
      <c r="Y226" s="62"/>
      <c r="Z226" s="82"/>
      <c r="AC226" s="107"/>
    </row>
    <row r="227" spans="2:29" s="1" customFormat="1" ht="13.5">
      <c r="B227" s="65"/>
      <c r="C227" s="63"/>
      <c r="D227" s="63"/>
      <c r="E227" s="152"/>
      <c r="F227" s="153"/>
      <c r="G227" s="154"/>
      <c r="H227" s="154"/>
      <c r="I227" s="154"/>
      <c r="J227" s="69"/>
      <c r="K227" s="334">
        <f>SUM(K226:K226)</f>
        <v>7.2</v>
      </c>
      <c r="L227" s="64"/>
      <c r="M227" s="97"/>
      <c r="N227" s="287"/>
      <c r="O227" s="287"/>
      <c r="P227" s="287"/>
      <c r="Q227" s="287"/>
      <c r="R227" s="84"/>
      <c r="S227" s="99"/>
      <c r="T227" s="84"/>
      <c r="U227" s="99"/>
      <c r="V227" s="67"/>
      <c r="W227" s="62"/>
      <c r="X227" s="62"/>
      <c r="Y227" s="62"/>
      <c r="Z227" s="68"/>
      <c r="AC227" s="107"/>
    </row>
    <row r="228" spans="2:29" s="1" customFormat="1" ht="13.5">
      <c r="B228" s="65"/>
      <c r="C228" s="76">
        <v>55</v>
      </c>
      <c r="D228" s="76" t="s">
        <v>72</v>
      </c>
      <c r="E228" s="158" t="s">
        <v>141</v>
      </c>
      <c r="F228" s="397" t="s">
        <v>144</v>
      </c>
      <c r="G228" s="398"/>
      <c r="H228" s="398"/>
      <c r="I228" s="398"/>
      <c r="J228" s="77" t="s">
        <v>73</v>
      </c>
      <c r="K228" s="104">
        <f>K231</f>
        <v>11.35</v>
      </c>
      <c r="L228" s="399"/>
      <c r="M228" s="400"/>
      <c r="N228" s="401">
        <f>ROUND(L228*K228,2)</f>
        <v>0</v>
      </c>
      <c r="O228" s="401"/>
      <c r="P228" s="401"/>
      <c r="Q228" s="401"/>
      <c r="R228" s="81">
        <v>0.31108</v>
      </c>
      <c r="S228" s="120">
        <f>R228*K228</f>
        <v>3.530758</v>
      </c>
      <c r="T228" s="81">
        <v>0</v>
      </c>
      <c r="U228" s="120">
        <f>T228*K228</f>
        <v>0</v>
      </c>
      <c r="V228" s="91"/>
      <c r="AC228" s="107"/>
    </row>
    <row r="229" spans="2:29" s="1" customFormat="1" ht="13.5">
      <c r="B229" s="65"/>
      <c r="C229" s="63"/>
      <c r="D229" s="63"/>
      <c r="E229" s="240" t="s">
        <v>120</v>
      </c>
      <c r="F229" s="283"/>
      <c r="G229" s="284"/>
      <c r="H229" s="284"/>
      <c r="I229" s="284"/>
      <c r="J229" s="96"/>
      <c r="K229" s="277">
        <f>K80</f>
        <v>8.5</v>
      </c>
      <c r="L229" s="64"/>
      <c r="M229" s="97"/>
      <c r="N229" s="272"/>
      <c r="O229" s="272"/>
      <c r="P229" s="272"/>
      <c r="Q229" s="272"/>
      <c r="R229" s="84"/>
      <c r="S229" s="99"/>
      <c r="T229" s="84"/>
      <c r="U229" s="99"/>
      <c r="V229" s="67"/>
      <c r="W229" s="62"/>
      <c r="X229" s="62"/>
      <c r="Y229" s="62"/>
      <c r="Z229" s="82"/>
      <c r="AC229" s="107"/>
    </row>
    <row r="230" spans="2:29" s="1" customFormat="1" ht="13.5">
      <c r="B230" s="65"/>
      <c r="C230" s="63"/>
      <c r="D230" s="63"/>
      <c r="E230" s="240" t="s">
        <v>140</v>
      </c>
      <c r="F230" s="283"/>
      <c r="G230" s="284"/>
      <c r="H230" s="284"/>
      <c r="I230" s="284"/>
      <c r="J230" s="96"/>
      <c r="K230" s="277">
        <f>K89</f>
        <v>2.85</v>
      </c>
      <c r="L230" s="64"/>
      <c r="M230" s="97"/>
      <c r="N230" s="287"/>
      <c r="O230" s="287"/>
      <c r="P230" s="287"/>
      <c r="Q230" s="287"/>
      <c r="R230" s="84"/>
      <c r="S230" s="99"/>
      <c r="T230" s="84"/>
      <c r="U230" s="99"/>
      <c r="V230" s="67"/>
      <c r="W230" s="62"/>
      <c r="X230" s="62"/>
      <c r="Y230" s="62"/>
      <c r="Z230" s="82"/>
      <c r="AC230" s="107"/>
    </row>
    <row r="231" spans="2:29" s="1" customFormat="1" ht="13.5">
      <c r="B231" s="65"/>
      <c r="C231" s="63"/>
      <c r="D231" s="63"/>
      <c r="E231" s="152"/>
      <c r="F231" s="153"/>
      <c r="G231" s="154"/>
      <c r="H231" s="154"/>
      <c r="I231" s="154"/>
      <c r="J231" s="69"/>
      <c r="K231" s="334">
        <f>SUM(K229:K230)</f>
        <v>11.35</v>
      </c>
      <c r="L231" s="64"/>
      <c r="M231" s="97"/>
      <c r="N231" s="272"/>
      <c r="O231" s="272"/>
      <c r="P231" s="272"/>
      <c r="Q231" s="272"/>
      <c r="R231" s="84"/>
      <c r="S231" s="99"/>
      <c r="T231" s="84"/>
      <c r="U231" s="99"/>
      <c r="V231" s="67"/>
      <c r="W231" s="62"/>
      <c r="X231" s="62"/>
      <c r="Y231" s="62"/>
      <c r="Z231" s="68"/>
      <c r="AC231" s="107"/>
    </row>
    <row r="232" spans="2:29" s="1" customFormat="1" ht="13.5">
      <c r="B232" s="65"/>
      <c r="C232" s="76">
        <v>56</v>
      </c>
      <c r="D232" s="76" t="s">
        <v>72</v>
      </c>
      <c r="E232" s="158" t="s">
        <v>143</v>
      </c>
      <c r="F232" s="397" t="s">
        <v>145</v>
      </c>
      <c r="G232" s="398"/>
      <c r="H232" s="398"/>
      <c r="I232" s="398"/>
      <c r="J232" s="77" t="s">
        <v>73</v>
      </c>
      <c r="K232" s="104">
        <f>K234</f>
        <v>2</v>
      </c>
      <c r="L232" s="399"/>
      <c r="M232" s="400"/>
      <c r="N232" s="401">
        <f>ROUND(L232*K232,2)</f>
        <v>0</v>
      </c>
      <c r="O232" s="401"/>
      <c r="P232" s="401"/>
      <c r="Q232" s="401"/>
      <c r="R232" s="81">
        <v>0.31108</v>
      </c>
      <c r="S232" s="120">
        <f>R232*K232</f>
        <v>0.62216</v>
      </c>
      <c r="T232" s="81">
        <v>0</v>
      </c>
      <c r="U232" s="120">
        <f>T232*K232</f>
        <v>0</v>
      </c>
      <c r="V232" s="91"/>
      <c r="AC232" s="107"/>
    </row>
    <row r="233" spans="2:29" s="1" customFormat="1" ht="13.5">
      <c r="B233" s="65"/>
      <c r="C233" s="63"/>
      <c r="D233" s="63"/>
      <c r="E233" s="240" t="s">
        <v>142</v>
      </c>
      <c r="F233" s="283"/>
      <c r="G233" s="284"/>
      <c r="H233" s="284"/>
      <c r="I233" s="284"/>
      <c r="J233" s="96"/>
      <c r="K233" s="277">
        <f>K85</f>
        <v>2</v>
      </c>
      <c r="L233" s="64"/>
      <c r="M233" s="97"/>
      <c r="N233" s="287"/>
      <c r="O233" s="287"/>
      <c r="P233" s="287"/>
      <c r="Q233" s="287"/>
      <c r="R233" s="84"/>
      <c r="S233" s="99"/>
      <c r="T233" s="84"/>
      <c r="U233" s="99"/>
      <c r="V233" s="67"/>
      <c r="W233" s="62"/>
      <c r="X233" s="62"/>
      <c r="Y233" s="62"/>
      <c r="Z233" s="82"/>
      <c r="AC233" s="107"/>
    </row>
    <row r="234" spans="2:29" s="1" customFormat="1" ht="13.5">
      <c r="B234" s="65"/>
      <c r="C234" s="63"/>
      <c r="D234" s="63"/>
      <c r="E234" s="152"/>
      <c r="F234" s="153"/>
      <c r="G234" s="154"/>
      <c r="H234" s="154"/>
      <c r="I234" s="154"/>
      <c r="J234" s="69"/>
      <c r="K234" s="334">
        <f>SUM(K233:K233)</f>
        <v>2</v>
      </c>
      <c r="L234" s="64"/>
      <c r="M234" s="97"/>
      <c r="N234" s="287"/>
      <c r="O234" s="287"/>
      <c r="P234" s="287"/>
      <c r="Q234" s="287"/>
      <c r="R234" s="84"/>
      <c r="S234" s="99"/>
      <c r="T234" s="84"/>
      <c r="U234" s="99"/>
      <c r="V234" s="67"/>
      <c r="W234" s="62"/>
      <c r="X234" s="62"/>
      <c r="Y234" s="62"/>
      <c r="Z234" s="68"/>
      <c r="AC234" s="107"/>
    </row>
    <row r="235" spans="2:29" s="1" customFormat="1" ht="13.5">
      <c r="B235" s="65"/>
      <c r="C235" s="76">
        <v>57</v>
      </c>
      <c r="D235" s="76" t="s">
        <v>72</v>
      </c>
      <c r="E235" s="158" t="s">
        <v>146</v>
      </c>
      <c r="F235" s="397" t="s">
        <v>147</v>
      </c>
      <c r="G235" s="398"/>
      <c r="H235" s="398"/>
      <c r="I235" s="398"/>
      <c r="J235" s="77" t="s">
        <v>74</v>
      </c>
      <c r="K235" s="104">
        <f>K237</f>
        <v>2.7</v>
      </c>
      <c r="L235" s="399"/>
      <c r="M235" s="400"/>
      <c r="N235" s="401">
        <f>ROUND(L235*K235,2)</f>
        <v>0</v>
      </c>
      <c r="O235" s="401"/>
      <c r="P235" s="401"/>
      <c r="Q235" s="401"/>
      <c r="R235" s="81">
        <v>0.31108</v>
      </c>
      <c r="S235" s="120">
        <f>R235*K235</f>
        <v>0.8399160000000001</v>
      </c>
      <c r="T235" s="81">
        <v>0</v>
      </c>
      <c r="U235" s="120">
        <f>T235*K235</f>
        <v>0</v>
      </c>
      <c r="V235" s="91"/>
      <c r="AC235" s="107"/>
    </row>
    <row r="236" spans="2:29" s="1" customFormat="1" ht="13.5">
      <c r="B236" s="65"/>
      <c r="C236" s="63"/>
      <c r="D236" s="63"/>
      <c r="E236" s="240" t="s">
        <v>148</v>
      </c>
      <c r="F236" s="283"/>
      <c r="G236" s="284"/>
      <c r="H236" s="284"/>
      <c r="I236" s="284"/>
      <c r="J236" s="96"/>
      <c r="K236" s="277">
        <f>K105</f>
        <v>2.7</v>
      </c>
      <c r="L236" s="64"/>
      <c r="M236" s="97"/>
      <c r="N236" s="287"/>
      <c r="O236" s="287"/>
      <c r="P236" s="287"/>
      <c r="Q236" s="287"/>
      <c r="R236" s="84"/>
      <c r="S236" s="99"/>
      <c r="T236" s="84"/>
      <c r="U236" s="99"/>
      <c r="V236" s="67"/>
      <c r="W236" s="62"/>
      <c r="X236" s="62"/>
      <c r="Y236" s="62"/>
      <c r="Z236" s="82"/>
      <c r="AC236" s="107"/>
    </row>
    <row r="237" spans="2:29" s="1" customFormat="1" ht="13.5">
      <c r="B237" s="65"/>
      <c r="C237" s="63"/>
      <c r="D237" s="63"/>
      <c r="E237" s="152"/>
      <c r="F237" s="153"/>
      <c r="G237" s="154"/>
      <c r="H237" s="154"/>
      <c r="I237" s="154"/>
      <c r="J237" s="69"/>
      <c r="K237" s="334">
        <f>SUM(K236:K236)</f>
        <v>2.7</v>
      </c>
      <c r="L237" s="64"/>
      <c r="M237" s="97"/>
      <c r="N237" s="287"/>
      <c r="O237" s="287"/>
      <c r="P237" s="287"/>
      <c r="Q237" s="287"/>
      <c r="R237" s="84"/>
      <c r="S237" s="99"/>
      <c r="T237" s="84"/>
      <c r="U237" s="99"/>
      <c r="V237" s="67"/>
      <c r="W237" s="62"/>
      <c r="X237" s="62"/>
      <c r="Y237" s="62"/>
      <c r="Z237" s="68"/>
      <c r="AC237" s="107"/>
    </row>
    <row r="238" spans="2:29" s="89" customFormat="1" ht="15">
      <c r="B238" s="94"/>
      <c r="C238" s="87"/>
      <c r="D238" s="88" t="s">
        <v>60</v>
      </c>
      <c r="E238" s="241"/>
      <c r="F238" s="241"/>
      <c r="G238" s="241"/>
      <c r="H238" s="241"/>
      <c r="I238" s="241"/>
      <c r="J238" s="88"/>
      <c r="K238" s="328"/>
      <c r="L238" s="88"/>
      <c r="M238" s="88"/>
      <c r="N238" s="456">
        <f>SUM(N239:Q244)</f>
        <v>0</v>
      </c>
      <c r="O238" s="457"/>
      <c r="P238" s="457"/>
      <c r="Q238" s="457"/>
      <c r="R238" s="87"/>
      <c r="S238" s="116">
        <f>SUM(S239:S244)</f>
        <v>0</v>
      </c>
      <c r="T238" s="87"/>
      <c r="U238" s="116">
        <f>SUM(U239:U244)</f>
        <v>0</v>
      </c>
      <c r="V238" s="95"/>
      <c r="AC238" s="350"/>
    </row>
    <row r="239" spans="2:29" s="1" customFormat="1" ht="13.5">
      <c r="B239" s="65"/>
      <c r="C239" s="70">
        <v>58</v>
      </c>
      <c r="D239" s="70"/>
      <c r="E239" s="136" t="s">
        <v>152</v>
      </c>
      <c r="F239" s="411" t="s">
        <v>153</v>
      </c>
      <c r="G239" s="412"/>
      <c r="H239" s="412"/>
      <c r="I239" s="412"/>
      <c r="J239" s="71" t="s">
        <v>76</v>
      </c>
      <c r="K239" s="106">
        <f>K241</f>
        <v>278.26560000000006</v>
      </c>
      <c r="L239" s="413"/>
      <c r="M239" s="413"/>
      <c r="N239" s="423">
        <f aca="true" t="shared" si="0" ref="N239:N244">ROUND(L239*K239,2)</f>
        <v>0</v>
      </c>
      <c r="O239" s="423"/>
      <c r="P239" s="423"/>
      <c r="Q239" s="423"/>
      <c r="R239" s="78">
        <v>0</v>
      </c>
      <c r="S239" s="117">
        <f aca="true" t="shared" si="1" ref="S239:S244">R239*K239</f>
        <v>0</v>
      </c>
      <c r="T239" s="78">
        <v>0</v>
      </c>
      <c r="U239" s="117">
        <f aca="true" t="shared" si="2" ref="U239:U244">T239*K239</f>
        <v>0</v>
      </c>
      <c r="V239" s="91"/>
      <c r="AC239" s="107"/>
    </row>
    <row r="240" spans="2:29" s="1" customFormat="1" ht="13.5">
      <c r="B240" s="65"/>
      <c r="C240" s="74">
        <v>59</v>
      </c>
      <c r="D240" s="74"/>
      <c r="E240" s="156" t="s">
        <v>154</v>
      </c>
      <c r="F240" s="393" t="s">
        <v>155</v>
      </c>
      <c r="G240" s="394"/>
      <c r="H240" s="394"/>
      <c r="I240" s="394"/>
      <c r="J240" s="75" t="s">
        <v>76</v>
      </c>
      <c r="K240" s="107">
        <f>K239*11</f>
        <v>3060.9216000000006</v>
      </c>
      <c r="L240" s="395"/>
      <c r="M240" s="395"/>
      <c r="N240" s="396">
        <f t="shared" si="0"/>
        <v>0</v>
      </c>
      <c r="O240" s="396"/>
      <c r="P240" s="396"/>
      <c r="Q240" s="396"/>
      <c r="R240" s="80">
        <v>0</v>
      </c>
      <c r="S240" s="119">
        <f t="shared" si="1"/>
        <v>0</v>
      </c>
      <c r="T240" s="80">
        <v>0</v>
      </c>
      <c r="U240" s="119">
        <f t="shared" si="2"/>
        <v>0</v>
      </c>
      <c r="V240" s="91"/>
      <c r="AC240" s="107"/>
    </row>
    <row r="241" spans="2:29" s="1" customFormat="1" ht="13.5">
      <c r="B241" s="65"/>
      <c r="C241" s="74">
        <v>60</v>
      </c>
      <c r="D241" s="74"/>
      <c r="E241" s="156" t="s">
        <v>156</v>
      </c>
      <c r="F241" s="393" t="s">
        <v>157</v>
      </c>
      <c r="G241" s="394"/>
      <c r="H241" s="394"/>
      <c r="I241" s="394"/>
      <c r="J241" s="75" t="s">
        <v>76</v>
      </c>
      <c r="K241" s="107">
        <f>SUM(K242:K244)</f>
        <v>278.26560000000006</v>
      </c>
      <c r="L241" s="395"/>
      <c r="M241" s="395"/>
      <c r="N241" s="396">
        <f t="shared" si="0"/>
        <v>0</v>
      </c>
      <c r="O241" s="396"/>
      <c r="P241" s="396"/>
      <c r="Q241" s="396"/>
      <c r="R241" s="80">
        <v>0</v>
      </c>
      <c r="S241" s="119">
        <f t="shared" si="1"/>
        <v>0</v>
      </c>
      <c r="T241" s="80">
        <v>0</v>
      </c>
      <c r="U241" s="119">
        <f t="shared" si="2"/>
        <v>0</v>
      </c>
      <c r="V241" s="91"/>
      <c r="Z241" s="66"/>
      <c r="AC241" s="105"/>
    </row>
    <row r="242" spans="2:29" s="1" customFormat="1" ht="13.5">
      <c r="B242" s="65"/>
      <c r="C242" s="74">
        <v>61</v>
      </c>
      <c r="D242" s="74"/>
      <c r="E242" s="156"/>
      <c r="F242" s="393" t="s">
        <v>254</v>
      </c>
      <c r="G242" s="394"/>
      <c r="H242" s="394"/>
      <c r="I242" s="394"/>
      <c r="J242" s="75" t="s">
        <v>76</v>
      </c>
      <c r="K242" s="107">
        <f>U70+U94</f>
        <v>41.7406</v>
      </c>
      <c r="L242" s="395"/>
      <c r="M242" s="395"/>
      <c r="N242" s="396">
        <f t="shared" si="0"/>
        <v>0</v>
      </c>
      <c r="O242" s="396"/>
      <c r="P242" s="396"/>
      <c r="Q242" s="396"/>
      <c r="R242" s="80">
        <v>0</v>
      </c>
      <c r="S242" s="119">
        <f t="shared" si="1"/>
        <v>0</v>
      </c>
      <c r="T242" s="80">
        <v>0</v>
      </c>
      <c r="U242" s="119">
        <f t="shared" si="2"/>
        <v>0</v>
      </c>
      <c r="V242" s="91"/>
      <c r="X242" s="289" t="s">
        <v>111</v>
      </c>
      <c r="Z242" s="66"/>
      <c r="AC242" s="353"/>
    </row>
    <row r="243" spans="2:29" s="1" customFormat="1" ht="13.5">
      <c r="B243" s="65"/>
      <c r="C243" s="74">
        <v>62</v>
      </c>
      <c r="D243" s="74"/>
      <c r="E243" s="156"/>
      <c r="F243" s="393" t="s">
        <v>138</v>
      </c>
      <c r="G243" s="394"/>
      <c r="H243" s="394"/>
      <c r="I243" s="394"/>
      <c r="J243" s="75" t="s">
        <v>76</v>
      </c>
      <c r="K243" s="107">
        <f>U101+U76+U108</f>
        <v>18.609499999999997</v>
      </c>
      <c r="L243" s="395"/>
      <c r="M243" s="395"/>
      <c r="N243" s="396">
        <f t="shared" si="0"/>
        <v>0</v>
      </c>
      <c r="O243" s="396"/>
      <c r="P243" s="396"/>
      <c r="Q243" s="396"/>
      <c r="R243" s="80">
        <v>0</v>
      </c>
      <c r="S243" s="119">
        <f t="shared" si="1"/>
        <v>0</v>
      </c>
      <c r="T243" s="80">
        <v>0</v>
      </c>
      <c r="U243" s="119">
        <f t="shared" si="2"/>
        <v>0</v>
      </c>
      <c r="V243" s="91"/>
      <c r="X243" s="291" t="s">
        <v>89</v>
      </c>
      <c r="AC243" s="349"/>
    </row>
    <row r="244" spans="2:29" s="1" customFormat="1" ht="13.5">
      <c r="B244" s="65"/>
      <c r="C244" s="72">
        <v>63</v>
      </c>
      <c r="D244" s="72"/>
      <c r="E244" s="141"/>
      <c r="F244" s="405" t="s">
        <v>139</v>
      </c>
      <c r="G244" s="406"/>
      <c r="H244" s="406"/>
      <c r="I244" s="406"/>
      <c r="J244" s="73" t="s">
        <v>76</v>
      </c>
      <c r="K244" s="105">
        <f>U95+U90+U86+U81+U77+U71+U98</f>
        <v>217.91550000000004</v>
      </c>
      <c r="L244" s="407"/>
      <c r="M244" s="407"/>
      <c r="N244" s="417">
        <f t="shared" si="0"/>
        <v>0</v>
      </c>
      <c r="O244" s="417"/>
      <c r="P244" s="417"/>
      <c r="Q244" s="417"/>
      <c r="R244" s="79">
        <v>0</v>
      </c>
      <c r="S244" s="118">
        <f t="shared" si="1"/>
        <v>0</v>
      </c>
      <c r="T244" s="79">
        <v>0</v>
      </c>
      <c r="U244" s="118">
        <f t="shared" si="2"/>
        <v>0</v>
      </c>
      <c r="V244" s="91"/>
      <c r="X244" s="163" t="s">
        <v>88</v>
      </c>
      <c r="AC244" s="354"/>
    </row>
    <row r="245" spans="2:29" s="108" customFormat="1" ht="15">
      <c r="B245" s="127"/>
      <c r="C245" s="101"/>
      <c r="D245" s="88" t="s">
        <v>84</v>
      </c>
      <c r="E245" s="241"/>
      <c r="F245" s="241"/>
      <c r="G245" s="241"/>
      <c r="H245" s="241"/>
      <c r="I245" s="241"/>
      <c r="J245" s="88"/>
      <c r="K245" s="328"/>
      <c r="L245" s="88"/>
      <c r="M245" s="88"/>
      <c r="N245" s="462">
        <f>N246</f>
        <v>0</v>
      </c>
      <c r="O245" s="457"/>
      <c r="P245" s="457"/>
      <c r="Q245" s="457"/>
      <c r="R245" s="101"/>
      <c r="S245" s="121">
        <f>S246</f>
        <v>0</v>
      </c>
      <c r="T245" s="101"/>
      <c r="U245" s="121">
        <f>U246</f>
        <v>0</v>
      </c>
      <c r="V245" s="128"/>
      <c r="AC245" s="347"/>
    </row>
    <row r="246" spans="2:29" s="1" customFormat="1" ht="13.5">
      <c r="B246" s="65"/>
      <c r="C246" s="157">
        <v>64</v>
      </c>
      <c r="D246" s="157" t="s">
        <v>72</v>
      </c>
      <c r="E246" s="158" t="s">
        <v>158</v>
      </c>
      <c r="F246" s="397" t="s">
        <v>159</v>
      </c>
      <c r="G246" s="398"/>
      <c r="H246" s="398"/>
      <c r="I246" s="398"/>
      <c r="J246" s="77" t="s">
        <v>76</v>
      </c>
      <c r="K246" s="333">
        <f>S68</f>
        <v>342.53713510000006</v>
      </c>
      <c r="L246" s="399"/>
      <c r="M246" s="400"/>
      <c r="N246" s="401">
        <f>ROUND(L246*K246,2)</f>
        <v>0</v>
      </c>
      <c r="O246" s="401"/>
      <c r="P246" s="401"/>
      <c r="Q246" s="401"/>
      <c r="R246" s="81">
        <v>0</v>
      </c>
      <c r="S246" s="120">
        <v>0</v>
      </c>
      <c r="T246" s="81">
        <v>0</v>
      </c>
      <c r="U246" s="120">
        <f>T246*K246</f>
        <v>0</v>
      </c>
      <c r="V246" s="91"/>
      <c r="AC246" s="107"/>
    </row>
    <row r="247" spans="2:29" s="108" customFormat="1" ht="15">
      <c r="B247" s="127"/>
      <c r="D247" s="243" t="s">
        <v>93</v>
      </c>
      <c r="E247" s="280"/>
      <c r="F247" s="280"/>
      <c r="G247" s="280"/>
      <c r="H247" s="280"/>
      <c r="I247" s="280"/>
      <c r="J247" s="243"/>
      <c r="K247" s="339"/>
      <c r="L247" s="243"/>
      <c r="M247" s="243"/>
      <c r="N247" s="428">
        <f>SUM(N248:Q254)</f>
        <v>0</v>
      </c>
      <c r="O247" s="429"/>
      <c r="P247" s="429"/>
      <c r="Q247" s="429"/>
      <c r="S247" s="244">
        <f>SUM(S248:S254)</f>
        <v>0</v>
      </c>
      <c r="U247" s="126">
        <f>SUM(U248:U254)</f>
        <v>0</v>
      </c>
      <c r="V247" s="128"/>
      <c r="Z247" s="243"/>
      <c r="AC247" s="348"/>
    </row>
    <row r="248" spans="1:29" s="1" customFormat="1" ht="15">
      <c r="A248" s="108"/>
      <c r="B248" s="65"/>
      <c r="C248" s="135">
        <v>65</v>
      </c>
      <c r="D248" s="135" t="s">
        <v>72</v>
      </c>
      <c r="E248" s="136"/>
      <c r="F248" s="411" t="s">
        <v>94</v>
      </c>
      <c r="G248" s="412"/>
      <c r="H248" s="412"/>
      <c r="I248" s="412"/>
      <c r="J248" s="71" t="s">
        <v>95</v>
      </c>
      <c r="K248" s="340">
        <v>1</v>
      </c>
      <c r="L248" s="413"/>
      <c r="M248" s="414"/>
      <c r="N248" s="427">
        <f aca="true" t="shared" si="3" ref="N248:N254">ROUND(L248*K248,2)</f>
        <v>0</v>
      </c>
      <c r="O248" s="427"/>
      <c r="P248" s="427"/>
      <c r="Q248" s="427"/>
      <c r="R248" s="78">
        <v>0</v>
      </c>
      <c r="S248" s="117">
        <f aca="true" t="shared" si="4" ref="S248:S254">R248*K248</f>
        <v>0</v>
      </c>
      <c r="T248" s="78">
        <v>0</v>
      </c>
      <c r="U248" s="117">
        <f aca="true" t="shared" si="5" ref="U248:U254">T248*K248</f>
        <v>0</v>
      </c>
      <c r="V248" s="91"/>
      <c r="Z248" s="243"/>
      <c r="AC248" s="80"/>
    </row>
    <row r="249" spans="1:29" s="1" customFormat="1" ht="15">
      <c r="A249" s="108"/>
      <c r="B249" s="65"/>
      <c r="C249" s="292">
        <v>66</v>
      </c>
      <c r="D249" s="292" t="s">
        <v>72</v>
      </c>
      <c r="E249" s="156"/>
      <c r="F249" s="393" t="s">
        <v>96</v>
      </c>
      <c r="G249" s="394"/>
      <c r="H249" s="394"/>
      <c r="I249" s="394"/>
      <c r="J249" s="75" t="s">
        <v>95</v>
      </c>
      <c r="K249" s="341">
        <v>1</v>
      </c>
      <c r="L249" s="395"/>
      <c r="M249" s="418"/>
      <c r="N249" s="425">
        <f t="shared" si="3"/>
        <v>0</v>
      </c>
      <c r="O249" s="425"/>
      <c r="P249" s="425"/>
      <c r="Q249" s="425"/>
      <c r="R249" s="80">
        <v>0</v>
      </c>
      <c r="S249" s="119">
        <f t="shared" si="4"/>
        <v>0</v>
      </c>
      <c r="T249" s="80">
        <v>0</v>
      </c>
      <c r="U249" s="119">
        <f t="shared" si="5"/>
        <v>0</v>
      </c>
      <c r="V249" s="91"/>
      <c r="Z249" s="243"/>
      <c r="AC249" s="80"/>
    </row>
    <row r="250" spans="1:29" s="1" customFormat="1" ht="15">
      <c r="A250" s="108"/>
      <c r="B250" s="65"/>
      <c r="C250" s="292">
        <v>67</v>
      </c>
      <c r="D250" s="292" t="s">
        <v>72</v>
      </c>
      <c r="E250" s="156"/>
      <c r="F250" s="393" t="s">
        <v>97</v>
      </c>
      <c r="G250" s="394"/>
      <c r="H250" s="394"/>
      <c r="I250" s="394"/>
      <c r="J250" s="75" t="s">
        <v>95</v>
      </c>
      <c r="K250" s="341">
        <v>1</v>
      </c>
      <c r="L250" s="395"/>
      <c r="M250" s="418"/>
      <c r="N250" s="425">
        <f t="shared" si="3"/>
        <v>0</v>
      </c>
      <c r="O250" s="425"/>
      <c r="P250" s="425"/>
      <c r="Q250" s="425"/>
      <c r="R250" s="80">
        <v>0</v>
      </c>
      <c r="S250" s="119">
        <f t="shared" si="4"/>
        <v>0</v>
      </c>
      <c r="T250" s="80">
        <v>0</v>
      </c>
      <c r="U250" s="119">
        <f t="shared" si="5"/>
        <v>0</v>
      </c>
      <c r="V250" s="91"/>
      <c r="Z250" s="243"/>
      <c r="AC250" s="80"/>
    </row>
    <row r="251" spans="1:29" s="1" customFormat="1" ht="15">
      <c r="A251" s="108"/>
      <c r="B251" s="65"/>
      <c r="C251" s="292">
        <v>68</v>
      </c>
      <c r="D251" s="292" t="s">
        <v>72</v>
      </c>
      <c r="E251" s="156"/>
      <c r="F251" s="393" t="s">
        <v>98</v>
      </c>
      <c r="G251" s="394"/>
      <c r="H251" s="394"/>
      <c r="I251" s="394"/>
      <c r="J251" s="75" t="s">
        <v>95</v>
      </c>
      <c r="K251" s="341">
        <v>1</v>
      </c>
      <c r="L251" s="395"/>
      <c r="M251" s="418"/>
      <c r="N251" s="425">
        <f t="shared" si="3"/>
        <v>0</v>
      </c>
      <c r="O251" s="425"/>
      <c r="P251" s="425"/>
      <c r="Q251" s="425"/>
      <c r="R251" s="80">
        <v>0</v>
      </c>
      <c r="S251" s="119">
        <f t="shared" si="4"/>
        <v>0</v>
      </c>
      <c r="T251" s="80">
        <v>0</v>
      </c>
      <c r="U251" s="119">
        <f t="shared" si="5"/>
        <v>0</v>
      </c>
      <c r="V251" s="91"/>
      <c r="Z251" s="243"/>
      <c r="AC251" s="80"/>
    </row>
    <row r="252" spans="1:29" s="1" customFormat="1" ht="15">
      <c r="A252" s="108"/>
      <c r="B252" s="65"/>
      <c r="C252" s="292">
        <v>69</v>
      </c>
      <c r="D252" s="292" t="s">
        <v>72</v>
      </c>
      <c r="E252" s="156"/>
      <c r="F252" s="393" t="s">
        <v>99</v>
      </c>
      <c r="G252" s="394"/>
      <c r="H252" s="394"/>
      <c r="I252" s="394"/>
      <c r="J252" s="75" t="s">
        <v>95</v>
      </c>
      <c r="K252" s="341">
        <v>1</v>
      </c>
      <c r="L252" s="395"/>
      <c r="M252" s="418"/>
      <c r="N252" s="425">
        <f t="shared" si="3"/>
        <v>0</v>
      </c>
      <c r="O252" s="425"/>
      <c r="P252" s="425"/>
      <c r="Q252" s="425"/>
      <c r="R252" s="80">
        <v>0</v>
      </c>
      <c r="S252" s="119">
        <f t="shared" si="4"/>
        <v>0</v>
      </c>
      <c r="T252" s="80">
        <v>0</v>
      </c>
      <c r="U252" s="119">
        <f t="shared" si="5"/>
        <v>0</v>
      </c>
      <c r="V252" s="91"/>
      <c r="Z252" s="243"/>
      <c r="AC252" s="80"/>
    </row>
    <row r="253" spans="1:29" s="1" customFormat="1" ht="15">
      <c r="A253" s="108"/>
      <c r="B253" s="65"/>
      <c r="C253" s="292">
        <v>70</v>
      </c>
      <c r="D253" s="292" t="s">
        <v>72</v>
      </c>
      <c r="E253" s="156"/>
      <c r="F253" s="393" t="s">
        <v>100</v>
      </c>
      <c r="G253" s="394"/>
      <c r="H253" s="394"/>
      <c r="I253" s="394"/>
      <c r="J253" s="75" t="s">
        <v>95</v>
      </c>
      <c r="K253" s="341">
        <v>1</v>
      </c>
      <c r="L253" s="395"/>
      <c r="M253" s="418"/>
      <c r="N253" s="425">
        <f t="shared" si="3"/>
        <v>0</v>
      </c>
      <c r="O253" s="425"/>
      <c r="P253" s="425"/>
      <c r="Q253" s="425"/>
      <c r="R253" s="80">
        <v>0</v>
      </c>
      <c r="S253" s="119">
        <f t="shared" si="4"/>
        <v>0</v>
      </c>
      <c r="T253" s="80">
        <v>0</v>
      </c>
      <c r="U253" s="119">
        <f t="shared" si="5"/>
        <v>0</v>
      </c>
      <c r="V253" s="91"/>
      <c r="Z253" s="243"/>
      <c r="AC253" s="80"/>
    </row>
    <row r="254" spans="1:29" s="1" customFormat="1" ht="15">
      <c r="A254" s="108"/>
      <c r="B254" s="65"/>
      <c r="C254" s="140">
        <v>71</v>
      </c>
      <c r="D254" s="140" t="s">
        <v>72</v>
      </c>
      <c r="E254" s="141"/>
      <c r="F254" s="405" t="s">
        <v>101</v>
      </c>
      <c r="G254" s="406"/>
      <c r="H254" s="406"/>
      <c r="I254" s="406"/>
      <c r="J254" s="73" t="s">
        <v>95</v>
      </c>
      <c r="K254" s="342">
        <v>1</v>
      </c>
      <c r="L254" s="407"/>
      <c r="M254" s="408"/>
      <c r="N254" s="424">
        <f t="shared" si="3"/>
        <v>0</v>
      </c>
      <c r="O254" s="424"/>
      <c r="P254" s="424"/>
      <c r="Q254" s="424"/>
      <c r="R254" s="79">
        <v>0</v>
      </c>
      <c r="S254" s="118">
        <f t="shared" si="4"/>
        <v>0</v>
      </c>
      <c r="T254" s="79">
        <v>0</v>
      </c>
      <c r="U254" s="118">
        <f t="shared" si="5"/>
        <v>0</v>
      </c>
      <c r="V254" s="91"/>
      <c r="Z254" s="243"/>
      <c r="AC254" s="79"/>
    </row>
    <row r="255" spans="1:26" s="167" customFormat="1" ht="15">
      <c r="A255" s="265"/>
      <c r="B255" s="245"/>
      <c r="C255" s="246"/>
      <c r="D255" s="246"/>
      <c r="E255" s="247"/>
      <c r="F255" s="248"/>
      <c r="G255" s="249"/>
      <c r="H255" s="249"/>
      <c r="I255" s="249"/>
      <c r="J255" s="250"/>
      <c r="K255" s="251"/>
      <c r="L255" s="251"/>
      <c r="M255" s="249"/>
      <c r="N255" s="252"/>
      <c r="O255" s="252"/>
      <c r="P255" s="252"/>
      <c r="Q255" s="252"/>
      <c r="R255" s="253"/>
      <c r="S255" s="254"/>
      <c r="T255" s="253"/>
      <c r="U255" s="254"/>
      <c r="V255" s="170"/>
      <c r="Z255" s="243"/>
    </row>
    <row r="256" spans="1:26" s="1" customFormat="1" ht="15">
      <c r="A256" s="108"/>
      <c r="B256" s="65"/>
      <c r="C256" s="255" t="s">
        <v>102</v>
      </c>
      <c r="D256" s="256"/>
      <c r="E256" s="257"/>
      <c r="F256" s="258"/>
      <c r="G256" s="259"/>
      <c r="H256" s="259"/>
      <c r="I256" s="259"/>
      <c r="J256" s="260"/>
      <c r="K256" s="261"/>
      <c r="L256" s="261"/>
      <c r="M256" s="259"/>
      <c r="N256" s="262"/>
      <c r="O256" s="262"/>
      <c r="P256" s="262"/>
      <c r="Q256" s="262"/>
      <c r="R256" s="66"/>
      <c r="S256" s="263"/>
      <c r="T256" s="66"/>
      <c r="U256" s="263"/>
      <c r="V256" s="91"/>
      <c r="Z256" s="243"/>
    </row>
    <row r="257" spans="1:26" s="1" customFormat="1" ht="15">
      <c r="A257" s="108"/>
      <c r="B257" s="65"/>
      <c r="C257" s="264"/>
      <c r="D257" s="256"/>
      <c r="E257" s="257"/>
      <c r="F257" s="258"/>
      <c r="G257" s="259"/>
      <c r="H257" s="259"/>
      <c r="I257" s="259"/>
      <c r="J257" s="260"/>
      <c r="K257" s="261"/>
      <c r="L257" s="261"/>
      <c r="M257" s="259"/>
      <c r="N257" s="262"/>
      <c r="O257" s="262"/>
      <c r="P257" s="262"/>
      <c r="Q257" s="262"/>
      <c r="R257" s="66"/>
      <c r="S257" s="263"/>
      <c r="T257" s="66"/>
      <c r="U257" s="263"/>
      <c r="V257" s="91"/>
      <c r="Z257" s="243"/>
    </row>
    <row r="258" spans="1:26" s="167" customFormat="1" ht="6.75" customHeight="1">
      <c r="A258" s="265"/>
      <c r="B258" s="266"/>
      <c r="C258" s="267"/>
      <c r="D258" s="267"/>
      <c r="E258" s="267"/>
      <c r="F258" s="267"/>
      <c r="G258" s="267"/>
      <c r="H258" s="267"/>
      <c r="I258" s="267"/>
      <c r="J258" s="267"/>
      <c r="K258" s="343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8"/>
      <c r="Z258" s="243"/>
    </row>
  </sheetData>
  <sheetProtection/>
  <mergeCells count="278">
    <mergeCell ref="F181:I181"/>
    <mergeCell ref="L181:M181"/>
    <mergeCell ref="N181:Q181"/>
    <mergeCell ref="F184:I184"/>
    <mergeCell ref="L184:M184"/>
    <mergeCell ref="N184:Q184"/>
    <mergeCell ref="F185:I185"/>
    <mergeCell ref="L185:M185"/>
    <mergeCell ref="N185:Q185"/>
    <mergeCell ref="F177:I177"/>
    <mergeCell ref="L177:M177"/>
    <mergeCell ref="N177:Q177"/>
    <mergeCell ref="F180:I180"/>
    <mergeCell ref="L180:M180"/>
    <mergeCell ref="N180:Q180"/>
    <mergeCell ref="F178:I178"/>
    <mergeCell ref="F179:I179"/>
    <mergeCell ref="N160:Q160"/>
    <mergeCell ref="F164:I164"/>
    <mergeCell ref="L164:M164"/>
    <mergeCell ref="N164:Q164"/>
    <mergeCell ref="F173:I173"/>
    <mergeCell ref="F205:I205"/>
    <mergeCell ref="L173:M173"/>
    <mergeCell ref="N173:Q173"/>
    <mergeCell ref="F174:I174"/>
    <mergeCell ref="L174:M174"/>
    <mergeCell ref="N174:Q174"/>
    <mergeCell ref="L205:M205"/>
    <mergeCell ref="N205:Q205"/>
    <mergeCell ref="F189:I189"/>
    <mergeCell ref="L189:M189"/>
    <mergeCell ref="F218:I218"/>
    <mergeCell ref="L218:M218"/>
    <mergeCell ref="N218:Q218"/>
    <mergeCell ref="F197:I197"/>
    <mergeCell ref="L197:M197"/>
    <mergeCell ref="N197:Q197"/>
    <mergeCell ref="F201:I201"/>
    <mergeCell ref="L201:M201"/>
    <mergeCell ref="N201:Q201"/>
    <mergeCell ref="F208:I208"/>
    <mergeCell ref="L193:M193"/>
    <mergeCell ref="N168:Q168"/>
    <mergeCell ref="L133:M133"/>
    <mergeCell ref="N133:Q133"/>
    <mergeCell ref="N134:Q134"/>
    <mergeCell ref="F138:I138"/>
    <mergeCell ref="L179:M179"/>
    <mergeCell ref="N179:Q179"/>
    <mergeCell ref="L178:M178"/>
    <mergeCell ref="N178:Q178"/>
    <mergeCell ref="F108:I108"/>
    <mergeCell ref="L108:M108"/>
    <mergeCell ref="N108:Q108"/>
    <mergeCell ref="F160:I160"/>
    <mergeCell ref="L160:M160"/>
    <mergeCell ref="N169:Q169"/>
    <mergeCell ref="N156:Q156"/>
    <mergeCell ref="F155:I155"/>
    <mergeCell ref="L155:M155"/>
    <mergeCell ref="N155:Q155"/>
    <mergeCell ref="N225:Q225"/>
    <mergeCell ref="N193:Q193"/>
    <mergeCell ref="F129:I129"/>
    <mergeCell ref="L129:M129"/>
    <mergeCell ref="N129:Q129"/>
    <mergeCell ref="F168:I168"/>
    <mergeCell ref="L168:M168"/>
    <mergeCell ref="N188:Q188"/>
    <mergeCell ref="N189:Q189"/>
    <mergeCell ref="F193:I193"/>
    <mergeCell ref="N228:Q228"/>
    <mergeCell ref="F169:I169"/>
    <mergeCell ref="L169:M169"/>
    <mergeCell ref="N245:Q245"/>
    <mergeCell ref="L244:M244"/>
    <mergeCell ref="N244:Q244"/>
    <mergeCell ref="F241:I241"/>
    <mergeCell ref="L241:M241"/>
    <mergeCell ref="F225:I225"/>
    <mergeCell ref="L225:M225"/>
    <mergeCell ref="F156:I156"/>
    <mergeCell ref="L156:M156"/>
    <mergeCell ref="F246:I246"/>
    <mergeCell ref="L246:M246"/>
    <mergeCell ref="N246:Q246"/>
    <mergeCell ref="L208:M208"/>
    <mergeCell ref="N208:Q208"/>
    <mergeCell ref="N238:Q238"/>
    <mergeCell ref="F243:I243"/>
    <mergeCell ref="L243:M243"/>
    <mergeCell ref="N243:Q243"/>
    <mergeCell ref="F244:I244"/>
    <mergeCell ref="F141:I141"/>
    <mergeCell ref="N141:Q141"/>
    <mergeCell ref="F115:I115"/>
    <mergeCell ref="L115:M115"/>
    <mergeCell ref="F133:I133"/>
    <mergeCell ref="L147:M147"/>
    <mergeCell ref="L141:M141"/>
    <mergeCell ref="F134:I134"/>
    <mergeCell ref="L134:M134"/>
    <mergeCell ref="N147:Q147"/>
    <mergeCell ref="M64:Q64"/>
    <mergeCell ref="F66:I66"/>
    <mergeCell ref="AA111:AA115"/>
    <mergeCell ref="F105:I105"/>
    <mergeCell ref="L105:M105"/>
    <mergeCell ref="L138:M138"/>
    <mergeCell ref="N138:Q138"/>
    <mergeCell ref="N105:Q105"/>
    <mergeCell ref="N151:Q151"/>
    <mergeCell ref="F147:I147"/>
    <mergeCell ref="R1:Z1"/>
    <mergeCell ref="AA70:AA71"/>
    <mergeCell ref="F6:P6"/>
    <mergeCell ref="F32:P32"/>
    <mergeCell ref="F59:P59"/>
    <mergeCell ref="N68:Q68"/>
    <mergeCell ref="N69:Q69"/>
    <mergeCell ref="M63:Q63"/>
    <mergeCell ref="N241:Q241"/>
    <mergeCell ref="N239:Q239"/>
    <mergeCell ref="L240:M240"/>
    <mergeCell ref="N240:Q240"/>
    <mergeCell ref="N145:Q145"/>
    <mergeCell ref="F146:I146"/>
    <mergeCell ref="L146:M146"/>
    <mergeCell ref="N146:Q146"/>
    <mergeCell ref="F151:I151"/>
    <mergeCell ref="L151:M151"/>
    <mergeCell ref="F215:I215"/>
    <mergeCell ref="L215:M215"/>
    <mergeCell ref="N215:Q215"/>
    <mergeCell ref="F239:I239"/>
    <mergeCell ref="L239:M239"/>
    <mergeCell ref="F222:I222"/>
    <mergeCell ref="L222:M222"/>
    <mergeCell ref="N222:Q222"/>
    <mergeCell ref="F228:I228"/>
    <mergeCell ref="L228:M228"/>
    <mergeCell ref="N40:Q40"/>
    <mergeCell ref="N66:Q66"/>
    <mergeCell ref="F111:I111"/>
    <mergeCell ref="L111:M111"/>
    <mergeCell ref="N111:Q111"/>
    <mergeCell ref="F71:I71"/>
    <mergeCell ref="L71:M71"/>
    <mergeCell ref="N71:Q71"/>
    <mergeCell ref="N90:Q90"/>
    <mergeCell ref="F94:I94"/>
    <mergeCell ref="M34:P34"/>
    <mergeCell ref="N42:Q42"/>
    <mergeCell ref="L66:M66"/>
    <mergeCell ref="F70:I70"/>
    <mergeCell ref="L70:M70"/>
    <mergeCell ref="N70:Q70"/>
    <mergeCell ref="M35:Q35"/>
    <mergeCell ref="M36:Q36"/>
    <mergeCell ref="C38:G38"/>
    <mergeCell ref="N38:Q38"/>
    <mergeCell ref="N44:Q44"/>
    <mergeCell ref="N41:Q41"/>
    <mergeCell ref="F58:P58"/>
    <mergeCell ref="M61:P61"/>
    <mergeCell ref="N48:Q48"/>
    <mergeCell ref="M22:P22"/>
    <mergeCell ref="H23:J23"/>
    <mergeCell ref="M23:P23"/>
    <mergeCell ref="L25:P25"/>
    <mergeCell ref="F31:P31"/>
    <mergeCell ref="C1:Q1"/>
    <mergeCell ref="F5:P5"/>
    <mergeCell ref="O10:P10"/>
    <mergeCell ref="O11:P11"/>
    <mergeCell ref="O12:P12"/>
    <mergeCell ref="O13:P13"/>
    <mergeCell ref="N50:Q50"/>
    <mergeCell ref="N8:P8"/>
    <mergeCell ref="C3:U4"/>
    <mergeCell ref="C29:U29"/>
    <mergeCell ref="M17:P17"/>
    <mergeCell ref="M18:P18"/>
    <mergeCell ref="M20:P20"/>
    <mergeCell ref="H22:J22"/>
    <mergeCell ref="N43:Q43"/>
    <mergeCell ref="N45:Q45"/>
    <mergeCell ref="L248:M248"/>
    <mergeCell ref="N248:Q248"/>
    <mergeCell ref="F249:I249"/>
    <mergeCell ref="L249:M249"/>
    <mergeCell ref="N249:Q249"/>
    <mergeCell ref="C56:U56"/>
    <mergeCell ref="L94:M94"/>
    <mergeCell ref="F98:I98"/>
    <mergeCell ref="N115:Q115"/>
    <mergeCell ref="N247:Q247"/>
    <mergeCell ref="N46:Q46"/>
    <mergeCell ref="F252:I252"/>
    <mergeCell ref="L252:M252"/>
    <mergeCell ref="N252:Q252"/>
    <mergeCell ref="F253:I253"/>
    <mergeCell ref="L253:M253"/>
    <mergeCell ref="N253:Q253"/>
    <mergeCell ref="F250:I250"/>
    <mergeCell ref="L250:M250"/>
    <mergeCell ref="N250:Q250"/>
    <mergeCell ref="F122:I122"/>
    <mergeCell ref="L122:M122"/>
    <mergeCell ref="N122:Q122"/>
    <mergeCell ref="F254:I254"/>
    <mergeCell ref="L254:M254"/>
    <mergeCell ref="N254:Q254"/>
    <mergeCell ref="F251:I251"/>
    <mergeCell ref="L251:M251"/>
    <mergeCell ref="N251:Q251"/>
    <mergeCell ref="F248:I248"/>
    <mergeCell ref="N85:Q85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L81:M81"/>
    <mergeCell ref="F125:I125"/>
    <mergeCell ref="L125:M125"/>
    <mergeCell ref="N125:Q125"/>
    <mergeCell ref="F76:I76"/>
    <mergeCell ref="L76:M76"/>
    <mergeCell ref="N76:Q76"/>
    <mergeCell ref="N81:Q81"/>
    <mergeCell ref="F85:I85"/>
    <mergeCell ref="L85:M85"/>
    <mergeCell ref="L90:M90"/>
    <mergeCell ref="AA76:AA77"/>
    <mergeCell ref="F77:I77"/>
    <mergeCell ref="L77:M77"/>
    <mergeCell ref="N77:Q77"/>
    <mergeCell ref="F80:I80"/>
    <mergeCell ref="L80:M80"/>
    <mergeCell ref="N80:Q80"/>
    <mergeCell ref="AA80:AA81"/>
    <mergeCell ref="F81:I81"/>
    <mergeCell ref="N98:Q98"/>
    <mergeCell ref="AA85:AA86"/>
    <mergeCell ref="F86:I86"/>
    <mergeCell ref="L86:M86"/>
    <mergeCell ref="N86:Q86"/>
    <mergeCell ref="F89:I89"/>
    <mergeCell ref="L89:M89"/>
    <mergeCell ref="N89:Q89"/>
    <mergeCell ref="AA89:AA90"/>
    <mergeCell ref="F90:I90"/>
    <mergeCell ref="F240:I240"/>
    <mergeCell ref="N94:Q94"/>
    <mergeCell ref="AA94:AA95"/>
    <mergeCell ref="F95:I95"/>
    <mergeCell ref="L95:M95"/>
    <mergeCell ref="N95:Q95"/>
    <mergeCell ref="F101:I101"/>
    <mergeCell ref="L101:M101"/>
    <mergeCell ref="N101:Q101"/>
    <mergeCell ref="L98:M98"/>
    <mergeCell ref="Z40:AC40"/>
    <mergeCell ref="F242:I242"/>
    <mergeCell ref="L242:M242"/>
    <mergeCell ref="N242:Q242"/>
    <mergeCell ref="F232:I232"/>
    <mergeCell ref="L232:M232"/>
    <mergeCell ref="N232:Q232"/>
    <mergeCell ref="F235:I235"/>
    <mergeCell ref="L235:M235"/>
    <mergeCell ref="N235:Q235"/>
  </mergeCells>
  <printOptions horizontalCentered="1"/>
  <pageMargins left="0.1968503937007874" right="0.1968503937007874" top="0.3937007874015748" bottom="0.3937007874015748" header="0" footer="0.1968503937007874"/>
  <pageSetup errors="blank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VLADA-PC\dulikv</dc:creator>
  <cp:keywords/>
  <dc:description/>
  <cp:lastModifiedBy>Melnik Emil</cp:lastModifiedBy>
  <cp:lastPrinted>2022-02-03T12:14:10Z</cp:lastPrinted>
  <dcterms:created xsi:type="dcterms:W3CDTF">2020-05-15T12:39:00Z</dcterms:created>
  <dcterms:modified xsi:type="dcterms:W3CDTF">2022-05-19T08:48:16Z</dcterms:modified>
  <cp:category/>
  <cp:version/>
  <cp:contentType/>
  <cp:contentStatus/>
</cp:coreProperties>
</file>