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E:\___ PROJEKTY\_ZZ - 2024\2416 - bazén + SAUNA\03-DPS - pro výběr zhotovitele\E - Výkaz Výměr\"/>
    </mc:Choice>
  </mc:AlternateContent>
  <xr:revisionPtr revIDLastSave="0" documentId="13_ncr:1_{17B89709-82E1-4581-A462-5AA90B0FDE09}" xr6:coauthVersionLast="47" xr6:coauthVersionMax="47" xr10:uidLastSave="{00000000-0000-0000-0000-000000000000}"/>
  <bookViews>
    <workbookView xWindow="38290" yWindow="-110" windowWidth="38620" windowHeight="21220" activeTab="1" xr2:uid="{00000000-000D-0000-FFFF-FFFF00000000}"/>
  </bookViews>
  <sheets>
    <sheet name="Stavební rozpočet - součet" sheetId="1" r:id="rId1"/>
    <sheet name="Krycí list rozpočtu" sheetId="2" r:id="rId2"/>
    <sheet name="VORN" sheetId="3" state="hidden" r:id="rId3"/>
    <sheet name="Stavební rozpočet" sheetId="4" r:id="rId4"/>
  </sheets>
  <definedNames>
    <definedName name="vorn_sum">VORN!$I$45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O266" i="4" l="1"/>
  <c r="BJ266" i="4"/>
  <c r="BF266" i="4"/>
  <c r="BD266" i="4"/>
  <c r="AP266" i="4"/>
  <c r="AX266" i="4" s="1"/>
  <c r="AO266" i="4"/>
  <c r="BH266" i="4" s="1"/>
  <c r="AK266" i="4"/>
  <c r="AJ266" i="4"/>
  <c r="AH266" i="4"/>
  <c r="AG266" i="4"/>
  <c r="AF266" i="4"/>
  <c r="AE266" i="4"/>
  <c r="AD266" i="4"/>
  <c r="AC266" i="4"/>
  <c r="AB266" i="4"/>
  <c r="Z266" i="4"/>
  <c r="J266" i="4"/>
  <c r="AL266" i="4" s="1"/>
  <c r="I266" i="4"/>
  <c r="H266" i="4"/>
  <c r="BO264" i="4"/>
  <c r="BJ264" i="4"/>
  <c r="BF264" i="4"/>
  <c r="BD264" i="4"/>
  <c r="AP264" i="4"/>
  <c r="BI264" i="4" s="1"/>
  <c r="AO264" i="4"/>
  <c r="BH264" i="4" s="1"/>
  <c r="AK264" i="4"/>
  <c r="AJ264" i="4"/>
  <c r="AH264" i="4"/>
  <c r="AG264" i="4"/>
  <c r="AF264" i="4"/>
  <c r="AE264" i="4"/>
  <c r="AD264" i="4"/>
  <c r="AC264" i="4"/>
  <c r="AB264" i="4"/>
  <c r="Z264" i="4"/>
  <c r="J264" i="4"/>
  <c r="AL264" i="4" s="1"/>
  <c r="H264" i="4"/>
  <c r="BO262" i="4"/>
  <c r="BJ262" i="4"/>
  <c r="BF262" i="4"/>
  <c r="BD262" i="4"/>
  <c r="AX262" i="4"/>
  <c r="AP262" i="4"/>
  <c r="BI262" i="4" s="1"/>
  <c r="AO262" i="4"/>
  <c r="BH262" i="4" s="1"/>
  <c r="AK262" i="4"/>
  <c r="AJ262" i="4"/>
  <c r="AH262" i="4"/>
  <c r="AG262" i="4"/>
  <c r="AF262" i="4"/>
  <c r="AE262" i="4"/>
  <c r="AD262" i="4"/>
  <c r="AC262" i="4"/>
  <c r="AB262" i="4"/>
  <c r="Z262" i="4"/>
  <c r="J262" i="4"/>
  <c r="AL262" i="4" s="1"/>
  <c r="I262" i="4"/>
  <c r="BO260" i="4"/>
  <c r="BJ260" i="4"/>
  <c r="BF260" i="4"/>
  <c r="BD260" i="4"/>
  <c r="AP260" i="4"/>
  <c r="AO260" i="4"/>
  <c r="BH260" i="4" s="1"/>
  <c r="AK260" i="4"/>
  <c r="AJ260" i="4"/>
  <c r="AH260" i="4"/>
  <c r="AG260" i="4"/>
  <c r="AF260" i="4"/>
  <c r="AE260" i="4"/>
  <c r="AD260" i="4"/>
  <c r="AC260" i="4"/>
  <c r="AB260" i="4"/>
  <c r="Z260" i="4"/>
  <c r="J260" i="4"/>
  <c r="AL260" i="4" s="1"/>
  <c r="H260" i="4"/>
  <c r="BO258" i="4"/>
  <c r="BJ258" i="4"/>
  <c r="BF258" i="4"/>
  <c r="BD258" i="4"/>
  <c r="AP258" i="4"/>
  <c r="AO258" i="4"/>
  <c r="BH258" i="4" s="1"/>
  <c r="AK258" i="4"/>
  <c r="AJ258" i="4"/>
  <c r="AH258" i="4"/>
  <c r="AG258" i="4"/>
  <c r="AF258" i="4"/>
  <c r="AE258" i="4"/>
  <c r="AD258" i="4"/>
  <c r="AC258" i="4"/>
  <c r="AB258" i="4"/>
  <c r="Z258" i="4"/>
  <c r="J258" i="4"/>
  <c r="AL258" i="4" s="1"/>
  <c r="H258" i="4"/>
  <c r="BO257" i="4"/>
  <c r="BJ257" i="4"/>
  <c r="BF257" i="4"/>
  <c r="BD257" i="4"/>
  <c r="AP257" i="4"/>
  <c r="BI257" i="4" s="1"/>
  <c r="AO257" i="4"/>
  <c r="AK257" i="4"/>
  <c r="AJ257" i="4"/>
  <c r="AH257" i="4"/>
  <c r="AG257" i="4"/>
  <c r="AF257" i="4"/>
  <c r="AE257" i="4"/>
  <c r="AD257" i="4"/>
  <c r="AC257" i="4"/>
  <c r="AB257" i="4"/>
  <c r="Z257" i="4"/>
  <c r="J257" i="4"/>
  <c r="AL257" i="4" s="1"/>
  <c r="I257" i="4"/>
  <c r="BO255" i="4"/>
  <c r="BJ255" i="4"/>
  <c r="BF255" i="4"/>
  <c r="BD255" i="4"/>
  <c r="AP255" i="4"/>
  <c r="BI255" i="4" s="1"/>
  <c r="AO255" i="4"/>
  <c r="AK255" i="4"/>
  <c r="AJ255" i="4"/>
  <c r="AH255" i="4"/>
  <c r="AG255" i="4"/>
  <c r="AF255" i="4"/>
  <c r="AE255" i="4"/>
  <c r="AD255" i="4"/>
  <c r="AC255" i="4"/>
  <c r="AB255" i="4"/>
  <c r="Z255" i="4"/>
  <c r="J255" i="4"/>
  <c r="AL255" i="4" s="1"/>
  <c r="BO253" i="4"/>
  <c r="BJ253" i="4"/>
  <c r="BF253" i="4"/>
  <c r="BD253" i="4"/>
  <c r="AP253" i="4"/>
  <c r="BI253" i="4" s="1"/>
  <c r="AO253" i="4"/>
  <c r="BH253" i="4" s="1"/>
  <c r="AK253" i="4"/>
  <c r="AJ253" i="4"/>
  <c r="AH253" i="4"/>
  <c r="AG253" i="4"/>
  <c r="AF253" i="4"/>
  <c r="AE253" i="4"/>
  <c r="AD253" i="4"/>
  <c r="AC253" i="4"/>
  <c r="AB253" i="4"/>
  <c r="Z253" i="4"/>
  <c r="J253" i="4"/>
  <c r="AL253" i="4" s="1"/>
  <c r="I253" i="4"/>
  <c r="BO251" i="4"/>
  <c r="BJ251" i="4"/>
  <c r="BF251" i="4"/>
  <c r="BD251" i="4"/>
  <c r="AP251" i="4"/>
  <c r="BI251" i="4" s="1"/>
  <c r="AO251" i="4"/>
  <c r="BH251" i="4" s="1"/>
  <c r="AK251" i="4"/>
  <c r="AT246" i="4" s="1"/>
  <c r="AJ251" i="4"/>
  <c r="AH251" i="4"/>
  <c r="AG251" i="4"/>
  <c r="AF251" i="4"/>
  <c r="AE251" i="4"/>
  <c r="AD251" i="4"/>
  <c r="AC251" i="4"/>
  <c r="AB251" i="4"/>
  <c r="Z251" i="4"/>
  <c r="J251" i="4"/>
  <c r="AL251" i="4" s="1"/>
  <c r="I251" i="4"/>
  <c r="H251" i="4"/>
  <c r="BO249" i="4"/>
  <c r="BJ249" i="4"/>
  <c r="BF249" i="4"/>
  <c r="BD249" i="4"/>
  <c r="AP249" i="4"/>
  <c r="BI249" i="4" s="1"/>
  <c r="AO249" i="4"/>
  <c r="BH249" i="4" s="1"/>
  <c r="AK249" i="4"/>
  <c r="AJ249" i="4"/>
  <c r="AH249" i="4"/>
  <c r="AG249" i="4"/>
  <c r="AF249" i="4"/>
  <c r="AE249" i="4"/>
  <c r="AD249" i="4"/>
  <c r="AC249" i="4"/>
  <c r="AB249" i="4"/>
  <c r="Z249" i="4"/>
  <c r="J249" i="4"/>
  <c r="AL249" i="4" s="1"/>
  <c r="H249" i="4"/>
  <c r="BO247" i="4"/>
  <c r="BJ247" i="4"/>
  <c r="BF247" i="4"/>
  <c r="BD247" i="4"/>
  <c r="AX247" i="4"/>
  <c r="AP247" i="4"/>
  <c r="BI247" i="4" s="1"/>
  <c r="AO247" i="4"/>
  <c r="BH247" i="4" s="1"/>
  <c r="AK247" i="4"/>
  <c r="AJ247" i="4"/>
  <c r="AH247" i="4"/>
  <c r="AG247" i="4"/>
  <c r="AF247" i="4"/>
  <c r="AE247" i="4"/>
  <c r="AD247" i="4"/>
  <c r="AC247" i="4"/>
  <c r="AB247" i="4"/>
  <c r="Z247" i="4"/>
  <c r="J247" i="4"/>
  <c r="AL247" i="4" s="1"/>
  <c r="I247" i="4"/>
  <c r="BJ245" i="4"/>
  <c r="Z245" i="4" s="1"/>
  <c r="BF245" i="4"/>
  <c r="BD245" i="4"/>
  <c r="AP245" i="4"/>
  <c r="BI245" i="4" s="1"/>
  <c r="AO245" i="4"/>
  <c r="BH245" i="4" s="1"/>
  <c r="AK245" i="4"/>
  <c r="AJ245" i="4"/>
  <c r="AH245" i="4"/>
  <c r="AG245" i="4"/>
  <c r="AF245" i="4"/>
  <c r="AE245" i="4"/>
  <c r="AD245" i="4"/>
  <c r="AC245" i="4"/>
  <c r="AB245" i="4"/>
  <c r="J245" i="4"/>
  <c r="AL245" i="4" s="1"/>
  <c r="I245" i="4"/>
  <c r="BJ244" i="4"/>
  <c r="Z244" i="4" s="1"/>
  <c r="BF244" i="4"/>
  <c r="BD244" i="4"/>
  <c r="AW244" i="4"/>
  <c r="AP244" i="4"/>
  <c r="BI244" i="4" s="1"/>
  <c r="AO244" i="4"/>
  <c r="BH244" i="4" s="1"/>
  <c r="AK244" i="4"/>
  <c r="AJ244" i="4"/>
  <c r="AH244" i="4"/>
  <c r="AG244" i="4"/>
  <c r="AF244" i="4"/>
  <c r="AE244" i="4"/>
  <c r="AD244" i="4"/>
  <c r="AC244" i="4"/>
  <c r="AB244" i="4"/>
  <c r="J244" i="4"/>
  <c r="AL244" i="4" s="1"/>
  <c r="I244" i="4"/>
  <c r="BJ243" i="4"/>
  <c r="BF243" i="4"/>
  <c r="BD243" i="4"/>
  <c r="AX243" i="4"/>
  <c r="AP243" i="4"/>
  <c r="BI243" i="4" s="1"/>
  <c r="AO243" i="4"/>
  <c r="BH243" i="4" s="1"/>
  <c r="AK243" i="4"/>
  <c r="AJ243" i="4"/>
  <c r="AH243" i="4"/>
  <c r="AG243" i="4"/>
  <c r="AF243" i="4"/>
  <c r="AE243" i="4"/>
  <c r="AD243" i="4"/>
  <c r="AC243" i="4"/>
  <c r="AB243" i="4"/>
  <c r="Z243" i="4"/>
  <c r="J243" i="4"/>
  <c r="AL243" i="4" s="1"/>
  <c r="I243" i="4"/>
  <c r="BJ242" i="4"/>
  <c r="Z242" i="4" s="1"/>
  <c r="BF242" i="4"/>
  <c r="BD242" i="4"/>
  <c r="AP242" i="4"/>
  <c r="BI242" i="4" s="1"/>
  <c r="AO242" i="4"/>
  <c r="BH242" i="4" s="1"/>
  <c r="AK242" i="4"/>
  <c r="AT237" i="4" s="1"/>
  <c r="AJ242" i="4"/>
  <c r="AH242" i="4"/>
  <c r="AG242" i="4"/>
  <c r="AF242" i="4"/>
  <c r="AE242" i="4"/>
  <c r="AD242" i="4"/>
  <c r="AC242" i="4"/>
  <c r="AB242" i="4"/>
  <c r="J242" i="4"/>
  <c r="AL242" i="4" s="1"/>
  <c r="H242" i="4"/>
  <c r="BJ241" i="4"/>
  <c r="Z241" i="4" s="1"/>
  <c r="BF241" i="4"/>
  <c r="BD241" i="4"/>
  <c r="AP241" i="4"/>
  <c r="BI241" i="4" s="1"/>
  <c r="AO241" i="4"/>
  <c r="AK241" i="4"/>
  <c r="AJ241" i="4"/>
  <c r="AH241" i="4"/>
  <c r="AG241" i="4"/>
  <c r="AF241" i="4"/>
  <c r="AE241" i="4"/>
  <c r="AD241" i="4"/>
  <c r="AC241" i="4"/>
  <c r="AB241" i="4"/>
  <c r="J241" i="4"/>
  <c r="AL241" i="4" s="1"/>
  <c r="I241" i="4"/>
  <c r="BJ240" i="4"/>
  <c r="Z240" i="4" s="1"/>
  <c r="BF240" i="4"/>
  <c r="BD240" i="4"/>
  <c r="AW240" i="4"/>
  <c r="AP240" i="4"/>
  <c r="BI240" i="4" s="1"/>
  <c r="AO240" i="4"/>
  <c r="BH240" i="4" s="1"/>
  <c r="AK240" i="4"/>
  <c r="AJ240" i="4"/>
  <c r="AH240" i="4"/>
  <c r="AG240" i="4"/>
  <c r="AF240" i="4"/>
  <c r="AE240" i="4"/>
  <c r="AD240" i="4"/>
  <c r="AC240" i="4"/>
  <c r="AB240" i="4"/>
  <c r="J240" i="4"/>
  <c r="AL240" i="4" s="1"/>
  <c r="BJ238" i="4"/>
  <c r="Z238" i="4" s="1"/>
  <c r="BF238" i="4"/>
  <c r="BD238" i="4"/>
  <c r="AP238" i="4"/>
  <c r="BI238" i="4" s="1"/>
  <c r="AO238" i="4"/>
  <c r="BH238" i="4" s="1"/>
  <c r="AK238" i="4"/>
  <c r="AJ238" i="4"/>
  <c r="AH238" i="4"/>
  <c r="AG238" i="4"/>
  <c r="AF238" i="4"/>
  <c r="AE238" i="4"/>
  <c r="AD238" i="4"/>
  <c r="AC238" i="4"/>
  <c r="AB238" i="4"/>
  <c r="J238" i="4"/>
  <c r="AL238" i="4" s="1"/>
  <c r="BJ236" i="4"/>
  <c r="BF236" i="4"/>
  <c r="BD236" i="4"/>
  <c r="AW236" i="4"/>
  <c r="AP236" i="4"/>
  <c r="BI236" i="4" s="1"/>
  <c r="AG236" i="4" s="1"/>
  <c r="AO236" i="4"/>
  <c r="BH236" i="4" s="1"/>
  <c r="AF236" i="4" s="1"/>
  <c r="AK236" i="4"/>
  <c r="AJ236" i="4"/>
  <c r="AH236" i="4"/>
  <c r="AE236" i="4"/>
  <c r="AD236" i="4"/>
  <c r="AC236" i="4"/>
  <c r="AB236" i="4"/>
  <c r="Z236" i="4"/>
  <c r="J236" i="4"/>
  <c r="AL236" i="4" s="1"/>
  <c r="I236" i="4"/>
  <c r="H236" i="4"/>
  <c r="BJ235" i="4"/>
  <c r="BF235" i="4"/>
  <c r="BD235" i="4"/>
  <c r="AP235" i="4"/>
  <c r="AO235" i="4"/>
  <c r="BH235" i="4" s="1"/>
  <c r="AF235" i="4" s="1"/>
  <c r="AK235" i="4"/>
  <c r="AJ235" i="4"/>
  <c r="AH235" i="4"/>
  <c r="AE235" i="4"/>
  <c r="AD235" i="4"/>
  <c r="AC235" i="4"/>
  <c r="AB235" i="4"/>
  <c r="Z235" i="4"/>
  <c r="J235" i="4"/>
  <c r="AL235" i="4" s="1"/>
  <c r="BJ234" i="4"/>
  <c r="BF234" i="4"/>
  <c r="BD234" i="4"/>
  <c r="AP234" i="4"/>
  <c r="BI234" i="4" s="1"/>
  <c r="AG234" i="4" s="1"/>
  <c r="AO234" i="4"/>
  <c r="BH234" i="4" s="1"/>
  <c r="AF234" i="4" s="1"/>
  <c r="AK234" i="4"/>
  <c r="AJ234" i="4"/>
  <c r="AH234" i="4"/>
  <c r="AE234" i="4"/>
  <c r="AD234" i="4"/>
  <c r="AC234" i="4"/>
  <c r="AB234" i="4"/>
  <c r="Z234" i="4"/>
  <c r="J234" i="4"/>
  <c r="AL234" i="4" s="1"/>
  <c r="BJ233" i="4"/>
  <c r="BF233" i="4"/>
  <c r="BD233" i="4"/>
  <c r="AP233" i="4"/>
  <c r="BI233" i="4" s="1"/>
  <c r="AG233" i="4" s="1"/>
  <c r="AO233" i="4"/>
  <c r="BH233" i="4" s="1"/>
  <c r="AF233" i="4" s="1"/>
  <c r="AK233" i="4"/>
  <c r="AJ233" i="4"/>
  <c r="AH233" i="4"/>
  <c r="AE233" i="4"/>
  <c r="AD233" i="4"/>
  <c r="AC233" i="4"/>
  <c r="AB233" i="4"/>
  <c r="Z233" i="4"/>
  <c r="J233" i="4"/>
  <c r="AL233" i="4" s="1"/>
  <c r="BJ232" i="4"/>
  <c r="BF232" i="4"/>
  <c r="BD232" i="4"/>
  <c r="AW232" i="4"/>
  <c r="AP232" i="4"/>
  <c r="AO232" i="4"/>
  <c r="BH232" i="4" s="1"/>
  <c r="AF232" i="4" s="1"/>
  <c r="AL232" i="4"/>
  <c r="AK232" i="4"/>
  <c r="AJ232" i="4"/>
  <c r="AH232" i="4"/>
  <c r="AE232" i="4"/>
  <c r="AD232" i="4"/>
  <c r="AC232" i="4"/>
  <c r="AB232" i="4"/>
  <c r="Z232" i="4"/>
  <c r="J232" i="4"/>
  <c r="I232" i="4"/>
  <c r="H232" i="4"/>
  <c r="BJ231" i="4"/>
  <c r="BF231" i="4"/>
  <c r="BD231" i="4"/>
  <c r="AP231" i="4"/>
  <c r="BI231" i="4" s="1"/>
  <c r="AG231" i="4" s="1"/>
  <c r="AO231" i="4"/>
  <c r="BH231" i="4" s="1"/>
  <c r="AF231" i="4" s="1"/>
  <c r="AK231" i="4"/>
  <c r="AJ231" i="4"/>
  <c r="AH231" i="4"/>
  <c r="AE231" i="4"/>
  <c r="AD231" i="4"/>
  <c r="AC231" i="4"/>
  <c r="AB231" i="4"/>
  <c r="Z231" i="4"/>
  <c r="J231" i="4"/>
  <c r="BJ230" i="4"/>
  <c r="BF230" i="4"/>
  <c r="BD230" i="4"/>
  <c r="AP230" i="4"/>
  <c r="BI230" i="4" s="1"/>
  <c r="AG230" i="4" s="1"/>
  <c r="AO230" i="4"/>
  <c r="BH230" i="4" s="1"/>
  <c r="AF230" i="4" s="1"/>
  <c r="AK230" i="4"/>
  <c r="AJ230" i="4"/>
  <c r="AH230" i="4"/>
  <c r="AE230" i="4"/>
  <c r="AD230" i="4"/>
  <c r="AC230" i="4"/>
  <c r="AB230" i="4"/>
  <c r="Z230" i="4"/>
  <c r="J230" i="4"/>
  <c r="AL230" i="4" s="1"/>
  <c r="H230" i="4"/>
  <c r="BJ229" i="4"/>
  <c r="BF229" i="4"/>
  <c r="BD229" i="4"/>
  <c r="AW229" i="4"/>
  <c r="AP229" i="4"/>
  <c r="BI229" i="4" s="1"/>
  <c r="AG229" i="4" s="1"/>
  <c r="AO229" i="4"/>
  <c r="BH229" i="4" s="1"/>
  <c r="AF229" i="4" s="1"/>
  <c r="AK229" i="4"/>
  <c r="AJ229" i="4"/>
  <c r="AH229" i="4"/>
  <c r="AE229" i="4"/>
  <c r="AD229" i="4"/>
  <c r="AC229" i="4"/>
  <c r="AB229" i="4"/>
  <c r="Z229" i="4"/>
  <c r="J229" i="4"/>
  <c r="AL229" i="4" s="1"/>
  <c r="I229" i="4"/>
  <c r="BJ228" i="4"/>
  <c r="BF228" i="4"/>
  <c r="BD228" i="4"/>
  <c r="AX228" i="4"/>
  <c r="AP228" i="4"/>
  <c r="BI228" i="4" s="1"/>
  <c r="AG228" i="4" s="1"/>
  <c r="AO228" i="4"/>
  <c r="AK228" i="4"/>
  <c r="AJ228" i="4"/>
  <c r="AH228" i="4"/>
  <c r="AE228" i="4"/>
  <c r="AD228" i="4"/>
  <c r="AC228" i="4"/>
  <c r="AB228" i="4"/>
  <c r="Z228" i="4"/>
  <c r="J228" i="4"/>
  <c r="AL228" i="4" s="1"/>
  <c r="I228" i="4"/>
  <c r="H228" i="4"/>
  <c r="BJ227" i="4"/>
  <c r="BF227" i="4"/>
  <c r="BD227" i="4"/>
  <c r="AP227" i="4"/>
  <c r="BI227" i="4" s="1"/>
  <c r="AG227" i="4" s="1"/>
  <c r="AO227" i="4"/>
  <c r="BH227" i="4" s="1"/>
  <c r="AF227" i="4" s="1"/>
  <c r="AK227" i="4"/>
  <c r="AJ227" i="4"/>
  <c r="AH227" i="4"/>
  <c r="AE227" i="4"/>
  <c r="AD227" i="4"/>
  <c r="AC227" i="4"/>
  <c r="AB227" i="4"/>
  <c r="Z227" i="4"/>
  <c r="J227" i="4"/>
  <c r="AL227" i="4" s="1"/>
  <c r="BJ226" i="4"/>
  <c r="BF226" i="4"/>
  <c r="BD226" i="4"/>
  <c r="AP226" i="4"/>
  <c r="BI226" i="4" s="1"/>
  <c r="AG226" i="4" s="1"/>
  <c r="AO226" i="4"/>
  <c r="BH226" i="4" s="1"/>
  <c r="AF226" i="4" s="1"/>
  <c r="AK226" i="4"/>
  <c r="AJ226" i="4"/>
  <c r="AH226" i="4"/>
  <c r="AE226" i="4"/>
  <c r="AD226" i="4"/>
  <c r="AC226" i="4"/>
  <c r="AB226" i="4"/>
  <c r="Z226" i="4"/>
  <c r="J226" i="4"/>
  <c r="AL226" i="4" s="1"/>
  <c r="BJ225" i="4"/>
  <c r="BF225" i="4"/>
  <c r="BD225" i="4"/>
  <c r="AP225" i="4"/>
  <c r="AO225" i="4"/>
  <c r="BH225" i="4" s="1"/>
  <c r="AF225" i="4" s="1"/>
  <c r="AK225" i="4"/>
  <c r="AJ225" i="4"/>
  <c r="AH225" i="4"/>
  <c r="AE225" i="4"/>
  <c r="AD225" i="4"/>
  <c r="AC225" i="4"/>
  <c r="AB225" i="4"/>
  <c r="Z225" i="4"/>
  <c r="J225" i="4"/>
  <c r="AL225" i="4" s="1"/>
  <c r="BJ223" i="4"/>
  <c r="BF223" i="4"/>
  <c r="BD223" i="4"/>
  <c r="AP223" i="4"/>
  <c r="BI223" i="4" s="1"/>
  <c r="AG223" i="4" s="1"/>
  <c r="AO223" i="4"/>
  <c r="BH223" i="4" s="1"/>
  <c r="AF223" i="4" s="1"/>
  <c r="AK223" i="4"/>
  <c r="AT222" i="4" s="1"/>
  <c r="AJ223" i="4"/>
  <c r="AS222" i="4" s="1"/>
  <c r="AH223" i="4"/>
  <c r="AE223" i="4"/>
  <c r="AD223" i="4"/>
  <c r="AC223" i="4"/>
  <c r="AB223" i="4"/>
  <c r="Z223" i="4"/>
  <c r="J223" i="4"/>
  <c r="AL223" i="4" s="1"/>
  <c r="AU222" i="4" s="1"/>
  <c r="BJ221" i="4"/>
  <c r="Z221" i="4" s="1"/>
  <c r="BF221" i="4"/>
  <c r="BD221" i="4"/>
  <c r="AP221" i="4"/>
  <c r="AO221" i="4"/>
  <c r="BH221" i="4" s="1"/>
  <c r="AK221" i="4"/>
  <c r="AT220" i="4" s="1"/>
  <c r="AJ221" i="4"/>
  <c r="AH221" i="4"/>
  <c r="AG221" i="4"/>
  <c r="AF221" i="4"/>
  <c r="AE221" i="4"/>
  <c r="AD221" i="4"/>
  <c r="AC221" i="4"/>
  <c r="AB221" i="4"/>
  <c r="J221" i="4"/>
  <c r="AL221" i="4" s="1"/>
  <c r="AU220" i="4" s="1"/>
  <c r="AS220" i="4"/>
  <c r="BJ218" i="4"/>
  <c r="BF218" i="4"/>
  <c r="BD218" i="4"/>
  <c r="AP218" i="4"/>
  <c r="BI218" i="4" s="1"/>
  <c r="AC218" i="4" s="1"/>
  <c r="AO218" i="4"/>
  <c r="BH218" i="4" s="1"/>
  <c r="AB218" i="4" s="1"/>
  <c r="AK218" i="4"/>
  <c r="AJ218" i="4"/>
  <c r="AH218" i="4"/>
  <c r="AG218" i="4"/>
  <c r="AF218" i="4"/>
  <c r="AE218" i="4"/>
  <c r="AD218" i="4"/>
  <c r="Z218" i="4"/>
  <c r="J218" i="4"/>
  <c r="BJ216" i="4"/>
  <c r="BF216" i="4"/>
  <c r="BD216" i="4"/>
  <c r="AP216" i="4"/>
  <c r="BI216" i="4" s="1"/>
  <c r="AC216" i="4" s="1"/>
  <c r="AO216" i="4"/>
  <c r="BH216" i="4" s="1"/>
  <c r="AB216" i="4" s="1"/>
  <c r="AK216" i="4"/>
  <c r="AJ216" i="4"/>
  <c r="AH216" i="4"/>
  <c r="AG216" i="4"/>
  <c r="AF216" i="4"/>
  <c r="AE216" i="4"/>
  <c r="AD216" i="4"/>
  <c r="Z216" i="4"/>
  <c r="J216" i="4"/>
  <c r="AL216" i="4" s="1"/>
  <c r="BJ214" i="4"/>
  <c r="BF214" i="4"/>
  <c r="BD214" i="4"/>
  <c r="AP214" i="4"/>
  <c r="AX214" i="4" s="1"/>
  <c r="AO214" i="4"/>
  <c r="AK214" i="4"/>
  <c r="AJ214" i="4"/>
  <c r="AH214" i="4"/>
  <c r="AG214" i="4"/>
  <c r="AF214" i="4"/>
  <c r="AE214" i="4"/>
  <c r="AD214" i="4"/>
  <c r="Z214" i="4"/>
  <c r="J214" i="4"/>
  <c r="AL214" i="4" s="1"/>
  <c r="BJ212" i="4"/>
  <c r="BF212" i="4"/>
  <c r="BD212" i="4"/>
  <c r="AP212" i="4"/>
  <c r="BI212" i="4" s="1"/>
  <c r="AC212" i="4" s="1"/>
  <c r="AO212" i="4"/>
  <c r="BH212" i="4" s="1"/>
  <c r="AB212" i="4" s="1"/>
  <c r="AL212" i="4"/>
  <c r="AK212" i="4"/>
  <c r="AJ212" i="4"/>
  <c r="AS211" i="4" s="1"/>
  <c r="AH212" i="4"/>
  <c r="AG212" i="4"/>
  <c r="AF212" i="4"/>
  <c r="AE212" i="4"/>
  <c r="AD212" i="4"/>
  <c r="Z212" i="4"/>
  <c r="J212" i="4"/>
  <c r="I212" i="4"/>
  <c r="H212" i="4"/>
  <c r="BJ210" i="4"/>
  <c r="BF210" i="4"/>
  <c r="BD210" i="4"/>
  <c r="AP210" i="4"/>
  <c r="AO210" i="4"/>
  <c r="BH210" i="4" s="1"/>
  <c r="AB210" i="4" s="1"/>
  <c r="AK210" i="4"/>
  <c r="AJ210" i="4"/>
  <c r="AH210" i="4"/>
  <c r="AG210" i="4"/>
  <c r="AF210" i="4"/>
  <c r="AE210" i="4"/>
  <c r="AD210" i="4"/>
  <c r="Z210" i="4"/>
  <c r="J210" i="4"/>
  <c r="AL210" i="4" s="1"/>
  <c r="BJ208" i="4"/>
  <c r="BF208" i="4"/>
  <c r="BD208" i="4"/>
  <c r="AW208" i="4"/>
  <c r="AP208" i="4"/>
  <c r="BI208" i="4" s="1"/>
  <c r="AC208" i="4" s="1"/>
  <c r="AO208" i="4"/>
  <c r="BH208" i="4" s="1"/>
  <c r="AB208" i="4" s="1"/>
  <c r="AL208" i="4"/>
  <c r="AK208" i="4"/>
  <c r="AJ208" i="4"/>
  <c r="AH208" i="4"/>
  <c r="AG208" i="4"/>
  <c r="AF208" i="4"/>
  <c r="AE208" i="4"/>
  <c r="AD208" i="4"/>
  <c r="Z208" i="4"/>
  <c r="J208" i="4"/>
  <c r="I208" i="4"/>
  <c r="H208" i="4"/>
  <c r="BJ206" i="4"/>
  <c r="BF206" i="4"/>
  <c r="BD206" i="4"/>
  <c r="AW206" i="4"/>
  <c r="AP206" i="4"/>
  <c r="BI206" i="4" s="1"/>
  <c r="AC206" i="4" s="1"/>
  <c r="AO206" i="4"/>
  <c r="H206" i="4" s="1"/>
  <c r="AK206" i="4"/>
  <c r="AJ206" i="4"/>
  <c r="AH206" i="4"/>
  <c r="AG206" i="4"/>
  <c r="AF206" i="4"/>
  <c r="AE206" i="4"/>
  <c r="AD206" i="4"/>
  <c r="Z206" i="4"/>
  <c r="J206" i="4"/>
  <c r="AL206" i="4" s="1"/>
  <c r="BJ204" i="4"/>
  <c r="BF204" i="4"/>
  <c r="BD204" i="4"/>
  <c r="AP204" i="4"/>
  <c r="I204" i="4" s="1"/>
  <c r="AO204" i="4"/>
  <c r="AK204" i="4"/>
  <c r="AJ204" i="4"/>
  <c r="AH204" i="4"/>
  <c r="AG204" i="4"/>
  <c r="AF204" i="4"/>
  <c r="AE204" i="4"/>
  <c r="AD204" i="4"/>
  <c r="Z204" i="4"/>
  <c r="J204" i="4"/>
  <c r="BJ202" i="4"/>
  <c r="BF202" i="4"/>
  <c r="BD202" i="4"/>
  <c r="AP202" i="4"/>
  <c r="AO202" i="4"/>
  <c r="BH202" i="4" s="1"/>
  <c r="AB202" i="4" s="1"/>
  <c r="AK202" i="4"/>
  <c r="AJ202" i="4"/>
  <c r="AH202" i="4"/>
  <c r="AG202" i="4"/>
  <c r="AF202" i="4"/>
  <c r="AE202" i="4"/>
  <c r="AD202" i="4"/>
  <c r="Z202" i="4"/>
  <c r="J202" i="4"/>
  <c r="AL202" i="4" s="1"/>
  <c r="H202" i="4"/>
  <c r="BJ200" i="4"/>
  <c r="BF200" i="4"/>
  <c r="BD200" i="4"/>
  <c r="AP200" i="4"/>
  <c r="BI200" i="4" s="1"/>
  <c r="AC200" i="4" s="1"/>
  <c r="AO200" i="4"/>
  <c r="BH200" i="4" s="1"/>
  <c r="AK200" i="4"/>
  <c r="AJ200" i="4"/>
  <c r="AH200" i="4"/>
  <c r="AG200" i="4"/>
  <c r="AF200" i="4"/>
  <c r="AE200" i="4"/>
  <c r="AD200" i="4"/>
  <c r="AB200" i="4"/>
  <c r="Z200" i="4"/>
  <c r="J200" i="4"/>
  <c r="AL200" i="4" s="1"/>
  <c r="I200" i="4"/>
  <c r="H200" i="4"/>
  <c r="BJ197" i="4"/>
  <c r="BF197" i="4"/>
  <c r="BD197" i="4"/>
  <c r="AP197" i="4"/>
  <c r="AO197" i="4"/>
  <c r="BH197" i="4" s="1"/>
  <c r="AB197" i="4" s="1"/>
  <c r="AK197" i="4"/>
  <c r="AJ197" i="4"/>
  <c r="AH197" i="4"/>
  <c r="AG197" i="4"/>
  <c r="AF197" i="4"/>
  <c r="AE197" i="4"/>
  <c r="AD197" i="4"/>
  <c r="Z197" i="4"/>
  <c r="J197" i="4"/>
  <c r="AL197" i="4" s="1"/>
  <c r="BJ195" i="4"/>
  <c r="BF195" i="4"/>
  <c r="BD195" i="4"/>
  <c r="AP195" i="4"/>
  <c r="BI195" i="4" s="1"/>
  <c r="AC195" i="4" s="1"/>
  <c r="AO195" i="4"/>
  <c r="BH195" i="4" s="1"/>
  <c r="AB195" i="4" s="1"/>
  <c r="AK195" i="4"/>
  <c r="AJ195" i="4"/>
  <c r="AH195" i="4"/>
  <c r="AG195" i="4"/>
  <c r="AF195" i="4"/>
  <c r="AE195" i="4"/>
  <c r="AD195" i="4"/>
  <c r="Z195" i="4"/>
  <c r="J195" i="4"/>
  <c r="AL195" i="4" s="1"/>
  <c r="I195" i="4"/>
  <c r="H195" i="4"/>
  <c r="BJ193" i="4"/>
  <c r="BF193" i="4"/>
  <c r="BD193" i="4"/>
  <c r="AP193" i="4"/>
  <c r="BI193" i="4" s="1"/>
  <c r="AO193" i="4"/>
  <c r="BH193" i="4" s="1"/>
  <c r="AB193" i="4" s="1"/>
  <c r="AL193" i="4"/>
  <c r="AK193" i="4"/>
  <c r="AJ193" i="4"/>
  <c r="AH193" i="4"/>
  <c r="AG193" i="4"/>
  <c r="AF193" i="4"/>
  <c r="AE193" i="4"/>
  <c r="AD193" i="4"/>
  <c r="AC193" i="4"/>
  <c r="Z193" i="4"/>
  <c r="J193" i="4"/>
  <c r="H193" i="4"/>
  <c r="BJ192" i="4"/>
  <c r="BF192" i="4"/>
  <c r="BD192" i="4"/>
  <c r="AX192" i="4"/>
  <c r="AP192" i="4"/>
  <c r="BI192" i="4" s="1"/>
  <c r="AC192" i="4" s="1"/>
  <c r="AO192" i="4"/>
  <c r="AK192" i="4"/>
  <c r="AJ192" i="4"/>
  <c r="AH192" i="4"/>
  <c r="AG192" i="4"/>
  <c r="AF192" i="4"/>
  <c r="AE192" i="4"/>
  <c r="AD192" i="4"/>
  <c r="Z192" i="4"/>
  <c r="J192" i="4"/>
  <c r="AL192" i="4" s="1"/>
  <c r="I192" i="4"/>
  <c r="BJ191" i="4"/>
  <c r="BF191" i="4"/>
  <c r="BD191" i="4"/>
  <c r="AP191" i="4"/>
  <c r="AO191" i="4"/>
  <c r="BH191" i="4" s="1"/>
  <c r="AB191" i="4" s="1"/>
  <c r="AK191" i="4"/>
  <c r="AJ191" i="4"/>
  <c r="AH191" i="4"/>
  <c r="AG191" i="4"/>
  <c r="AF191" i="4"/>
  <c r="AE191" i="4"/>
  <c r="AD191" i="4"/>
  <c r="Z191" i="4"/>
  <c r="J191" i="4"/>
  <c r="AL191" i="4" s="1"/>
  <c r="BJ190" i="4"/>
  <c r="BF190" i="4"/>
  <c r="BD190" i="4"/>
  <c r="AP190" i="4"/>
  <c r="BI190" i="4" s="1"/>
  <c r="AC190" i="4" s="1"/>
  <c r="AO190" i="4"/>
  <c r="AK190" i="4"/>
  <c r="AJ190" i="4"/>
  <c r="AH190" i="4"/>
  <c r="AG190" i="4"/>
  <c r="AF190" i="4"/>
  <c r="AE190" i="4"/>
  <c r="AD190" i="4"/>
  <c r="Z190" i="4"/>
  <c r="J190" i="4"/>
  <c r="AL190" i="4" s="1"/>
  <c r="BJ189" i="4"/>
  <c r="BF189" i="4"/>
  <c r="BD189" i="4"/>
  <c r="AP189" i="4"/>
  <c r="BI189" i="4" s="1"/>
  <c r="AC189" i="4" s="1"/>
  <c r="AO189" i="4"/>
  <c r="BH189" i="4" s="1"/>
  <c r="AB189" i="4" s="1"/>
  <c r="AL189" i="4"/>
  <c r="AK189" i="4"/>
  <c r="AJ189" i="4"/>
  <c r="AH189" i="4"/>
  <c r="AG189" i="4"/>
  <c r="AF189" i="4"/>
  <c r="AE189" i="4"/>
  <c r="AD189" i="4"/>
  <c r="Z189" i="4"/>
  <c r="J189" i="4"/>
  <c r="I189" i="4"/>
  <c r="H189" i="4"/>
  <c r="BJ187" i="4"/>
  <c r="BF187" i="4"/>
  <c r="BD187" i="4"/>
  <c r="AP187" i="4"/>
  <c r="BI187" i="4" s="1"/>
  <c r="AC187" i="4" s="1"/>
  <c r="AO187" i="4"/>
  <c r="AK187" i="4"/>
  <c r="AJ187" i="4"/>
  <c r="AH187" i="4"/>
  <c r="AG187" i="4"/>
  <c r="AF187" i="4"/>
  <c r="AE187" i="4"/>
  <c r="AD187" i="4"/>
  <c r="Z187" i="4"/>
  <c r="J187" i="4"/>
  <c r="BJ185" i="4"/>
  <c r="BF185" i="4"/>
  <c r="BD185" i="4"/>
  <c r="AP185" i="4"/>
  <c r="BI185" i="4" s="1"/>
  <c r="AO185" i="4"/>
  <c r="BH185" i="4" s="1"/>
  <c r="AB185" i="4" s="1"/>
  <c r="AK185" i="4"/>
  <c r="AT184" i="4" s="1"/>
  <c r="AJ185" i="4"/>
  <c r="AS184" i="4" s="1"/>
  <c r="AH185" i="4"/>
  <c r="AG185" i="4"/>
  <c r="AF185" i="4"/>
  <c r="AE185" i="4"/>
  <c r="AD185" i="4"/>
  <c r="AC185" i="4"/>
  <c r="Z185" i="4"/>
  <c r="J185" i="4"/>
  <c r="AL185" i="4" s="1"/>
  <c r="AU184" i="4" s="1"/>
  <c r="H185" i="4"/>
  <c r="H184" i="4" s="1"/>
  <c r="E30" i="1" s="1"/>
  <c r="BJ182" i="4"/>
  <c r="BF182" i="4"/>
  <c r="BD182" i="4"/>
  <c r="AP182" i="4"/>
  <c r="BI182" i="4" s="1"/>
  <c r="AE182" i="4" s="1"/>
  <c r="AO182" i="4"/>
  <c r="BH182" i="4" s="1"/>
  <c r="AD182" i="4" s="1"/>
  <c r="AK182" i="4"/>
  <c r="AT179" i="4" s="1"/>
  <c r="AJ182" i="4"/>
  <c r="AH182" i="4"/>
  <c r="AG182" i="4"/>
  <c r="AF182" i="4"/>
  <c r="AC182" i="4"/>
  <c r="AB182" i="4"/>
  <c r="Z182" i="4"/>
  <c r="J182" i="4"/>
  <c r="AL182" i="4" s="1"/>
  <c r="BJ181" i="4"/>
  <c r="BF181" i="4"/>
  <c r="BD181" i="4"/>
  <c r="AP181" i="4"/>
  <c r="BI181" i="4" s="1"/>
  <c r="AE181" i="4" s="1"/>
  <c r="AO181" i="4"/>
  <c r="BH181" i="4" s="1"/>
  <c r="AD181" i="4" s="1"/>
  <c r="AK181" i="4"/>
  <c r="AJ181" i="4"/>
  <c r="AH181" i="4"/>
  <c r="AG181" i="4"/>
  <c r="AF181" i="4"/>
  <c r="AC181" i="4"/>
  <c r="AB181" i="4"/>
  <c r="Z181" i="4"/>
  <c r="J181" i="4"/>
  <c r="AL181" i="4" s="1"/>
  <c r="I181" i="4"/>
  <c r="H181" i="4"/>
  <c r="BJ180" i="4"/>
  <c r="BF180" i="4"/>
  <c r="BD180" i="4"/>
  <c r="AP180" i="4"/>
  <c r="AO180" i="4"/>
  <c r="AK180" i="4"/>
  <c r="AJ180" i="4"/>
  <c r="AS179" i="4" s="1"/>
  <c r="AH180" i="4"/>
  <c r="AG180" i="4"/>
  <c r="AF180" i="4"/>
  <c r="AC180" i="4"/>
  <c r="AB180" i="4"/>
  <c r="Z180" i="4"/>
  <c r="J180" i="4"/>
  <c r="BJ178" i="4"/>
  <c r="BF178" i="4"/>
  <c r="BD178" i="4"/>
  <c r="AP178" i="4"/>
  <c r="BI178" i="4" s="1"/>
  <c r="AE178" i="4" s="1"/>
  <c r="AO178" i="4"/>
  <c r="BH178" i="4" s="1"/>
  <c r="AD178" i="4" s="1"/>
  <c r="AK178" i="4"/>
  <c r="AJ178" i="4"/>
  <c r="AH178" i="4"/>
  <c r="AG178" i="4"/>
  <c r="AF178" i="4"/>
  <c r="AC178" i="4"/>
  <c r="AB178" i="4"/>
  <c r="Z178" i="4"/>
  <c r="J178" i="4"/>
  <c r="AL178" i="4" s="1"/>
  <c r="I178" i="4"/>
  <c r="BJ177" i="4"/>
  <c r="BH177" i="4"/>
  <c r="AD177" i="4" s="1"/>
  <c r="BF177" i="4"/>
  <c r="BD177" i="4"/>
  <c r="AP177" i="4"/>
  <c r="AO177" i="4"/>
  <c r="AK177" i="4"/>
  <c r="AJ177" i="4"/>
  <c r="AH177" i="4"/>
  <c r="AG177" i="4"/>
  <c r="AF177" i="4"/>
  <c r="AC177" i="4"/>
  <c r="AB177" i="4"/>
  <c r="Z177" i="4"/>
  <c r="J177" i="4"/>
  <c r="AL177" i="4" s="1"/>
  <c r="BJ175" i="4"/>
  <c r="BF175" i="4"/>
  <c r="BD175" i="4"/>
  <c r="AP175" i="4"/>
  <c r="AO175" i="4"/>
  <c r="AK175" i="4"/>
  <c r="AJ175" i="4"/>
  <c r="AH175" i="4"/>
  <c r="AG175" i="4"/>
  <c r="AF175" i="4"/>
  <c r="AC175" i="4"/>
  <c r="AB175" i="4"/>
  <c r="Z175" i="4"/>
  <c r="J175" i="4"/>
  <c r="AL175" i="4" s="1"/>
  <c r="BJ174" i="4"/>
  <c r="BF174" i="4"/>
  <c r="BD174" i="4"/>
  <c r="AP174" i="4"/>
  <c r="BI174" i="4" s="1"/>
  <c r="AE174" i="4" s="1"/>
  <c r="AO174" i="4"/>
  <c r="H174" i="4" s="1"/>
  <c r="AK174" i="4"/>
  <c r="AJ174" i="4"/>
  <c r="AH174" i="4"/>
  <c r="AG174" i="4"/>
  <c r="AF174" i="4"/>
  <c r="AC174" i="4"/>
  <c r="AB174" i="4"/>
  <c r="Z174" i="4"/>
  <c r="J174" i="4"/>
  <c r="AL174" i="4" s="1"/>
  <c r="I174" i="4"/>
  <c r="BJ172" i="4"/>
  <c r="BF172" i="4"/>
  <c r="BD172" i="4"/>
  <c r="AP172" i="4"/>
  <c r="BI172" i="4" s="1"/>
  <c r="AE172" i="4" s="1"/>
  <c r="AO172" i="4"/>
  <c r="AK172" i="4"/>
  <c r="AJ172" i="4"/>
  <c r="AH172" i="4"/>
  <c r="AG172" i="4"/>
  <c r="AF172" i="4"/>
  <c r="AC172" i="4"/>
  <c r="AB172" i="4"/>
  <c r="Z172" i="4"/>
  <c r="J172" i="4"/>
  <c r="AL172" i="4" s="1"/>
  <c r="BJ171" i="4"/>
  <c r="BF171" i="4"/>
  <c r="BD171" i="4"/>
  <c r="AP171" i="4"/>
  <c r="AO171" i="4"/>
  <c r="AK171" i="4"/>
  <c r="AJ171" i="4"/>
  <c r="AH171" i="4"/>
  <c r="AG171" i="4"/>
  <c r="AF171" i="4"/>
  <c r="AC171" i="4"/>
  <c r="AB171" i="4"/>
  <c r="Z171" i="4"/>
  <c r="J171" i="4"/>
  <c r="AL171" i="4" s="1"/>
  <c r="BJ169" i="4"/>
  <c r="BF169" i="4"/>
  <c r="BD169" i="4"/>
  <c r="AP169" i="4"/>
  <c r="BI169" i="4" s="1"/>
  <c r="AE169" i="4" s="1"/>
  <c r="AO169" i="4"/>
  <c r="AK169" i="4"/>
  <c r="AJ169" i="4"/>
  <c r="AH169" i="4"/>
  <c r="AG169" i="4"/>
  <c r="AF169" i="4"/>
  <c r="AC169" i="4"/>
  <c r="AB169" i="4"/>
  <c r="Z169" i="4"/>
  <c r="J169" i="4"/>
  <c r="AL169" i="4" s="1"/>
  <c r="BJ168" i="4"/>
  <c r="BF168" i="4"/>
  <c r="BD168" i="4"/>
  <c r="AP168" i="4"/>
  <c r="BI168" i="4" s="1"/>
  <c r="AE168" i="4" s="1"/>
  <c r="AO168" i="4"/>
  <c r="H168" i="4" s="1"/>
  <c r="AK168" i="4"/>
  <c r="AJ168" i="4"/>
  <c r="AH168" i="4"/>
  <c r="AG168" i="4"/>
  <c r="AF168" i="4"/>
  <c r="AC168" i="4"/>
  <c r="AB168" i="4"/>
  <c r="Z168" i="4"/>
  <c r="J168" i="4"/>
  <c r="AL168" i="4" s="1"/>
  <c r="I168" i="4"/>
  <c r="BJ166" i="4"/>
  <c r="BF166" i="4"/>
  <c r="BD166" i="4"/>
  <c r="AP166" i="4"/>
  <c r="BI166" i="4" s="1"/>
  <c r="AE166" i="4" s="1"/>
  <c r="AO166" i="4"/>
  <c r="AK166" i="4"/>
  <c r="AJ166" i="4"/>
  <c r="AH166" i="4"/>
  <c r="AG166" i="4"/>
  <c r="AF166" i="4"/>
  <c r="AC166" i="4"/>
  <c r="AB166" i="4"/>
  <c r="Z166" i="4"/>
  <c r="J166" i="4"/>
  <c r="BJ163" i="4"/>
  <c r="BF163" i="4"/>
  <c r="BD163" i="4"/>
  <c r="AP163" i="4"/>
  <c r="BI163" i="4" s="1"/>
  <c r="AO163" i="4"/>
  <c r="AK163" i="4"/>
  <c r="AT162" i="4" s="1"/>
  <c r="AJ163" i="4"/>
  <c r="AH163" i="4"/>
  <c r="AG163" i="4"/>
  <c r="AF163" i="4"/>
  <c r="AE163" i="4"/>
  <c r="AC163" i="4"/>
  <c r="AB163" i="4"/>
  <c r="Z163" i="4"/>
  <c r="J163" i="4"/>
  <c r="AL163" i="4" s="1"/>
  <c r="AU162" i="4" s="1"/>
  <c r="I163" i="4"/>
  <c r="I162" i="4" s="1"/>
  <c r="AS162" i="4"/>
  <c r="J162" i="4"/>
  <c r="BJ160" i="4"/>
  <c r="BF160" i="4"/>
  <c r="BD160" i="4"/>
  <c r="AP160" i="4"/>
  <c r="BI160" i="4" s="1"/>
  <c r="AE160" i="4" s="1"/>
  <c r="AO160" i="4"/>
  <c r="BH160" i="4" s="1"/>
  <c r="AD160" i="4" s="1"/>
  <c r="AK160" i="4"/>
  <c r="AJ160" i="4"/>
  <c r="AH160" i="4"/>
  <c r="AG160" i="4"/>
  <c r="AF160" i="4"/>
  <c r="AC160" i="4"/>
  <c r="AB160" i="4"/>
  <c r="Z160" i="4"/>
  <c r="J160" i="4"/>
  <c r="AL160" i="4" s="1"/>
  <c r="BJ159" i="4"/>
  <c r="BF159" i="4"/>
  <c r="BD159" i="4"/>
  <c r="AW159" i="4"/>
  <c r="AP159" i="4"/>
  <c r="AO159" i="4"/>
  <c r="BH159" i="4" s="1"/>
  <c r="AD159" i="4" s="1"/>
  <c r="AL159" i="4"/>
  <c r="AK159" i="4"/>
  <c r="AJ159" i="4"/>
  <c r="AH159" i="4"/>
  <c r="AG159" i="4"/>
  <c r="AF159" i="4"/>
  <c r="AC159" i="4"/>
  <c r="AB159" i="4"/>
  <c r="Z159" i="4"/>
  <c r="J159" i="4"/>
  <c r="I159" i="4"/>
  <c r="H159" i="4"/>
  <c r="BJ157" i="4"/>
  <c r="BF157" i="4"/>
  <c r="BD157" i="4"/>
  <c r="AP157" i="4"/>
  <c r="BI157" i="4" s="1"/>
  <c r="AE157" i="4" s="1"/>
  <c r="AO157" i="4"/>
  <c r="AL157" i="4"/>
  <c r="AK157" i="4"/>
  <c r="AJ157" i="4"/>
  <c r="AH157" i="4"/>
  <c r="AG157" i="4"/>
  <c r="AF157" i="4"/>
  <c r="AC157" i="4"/>
  <c r="AB157" i="4"/>
  <c r="Z157" i="4"/>
  <c r="J157" i="4"/>
  <c r="I157" i="4"/>
  <c r="BJ155" i="4"/>
  <c r="BF155" i="4"/>
  <c r="BD155" i="4"/>
  <c r="AP155" i="4"/>
  <c r="AO155" i="4"/>
  <c r="AK155" i="4"/>
  <c r="AJ155" i="4"/>
  <c r="AH155" i="4"/>
  <c r="AG155" i="4"/>
  <c r="AF155" i="4"/>
  <c r="AC155" i="4"/>
  <c r="AB155" i="4"/>
  <c r="Z155" i="4"/>
  <c r="J155" i="4"/>
  <c r="AL155" i="4" s="1"/>
  <c r="BJ153" i="4"/>
  <c r="BF153" i="4"/>
  <c r="BD153" i="4"/>
  <c r="AP153" i="4"/>
  <c r="BI153" i="4" s="1"/>
  <c r="AE153" i="4" s="1"/>
  <c r="AO153" i="4"/>
  <c r="BH153" i="4" s="1"/>
  <c r="AD153" i="4" s="1"/>
  <c r="AK153" i="4"/>
  <c r="AJ153" i="4"/>
  <c r="AH153" i="4"/>
  <c r="AG153" i="4"/>
  <c r="AF153" i="4"/>
  <c r="AC153" i="4"/>
  <c r="AB153" i="4"/>
  <c r="Z153" i="4"/>
  <c r="J153" i="4"/>
  <c r="AL153" i="4" s="1"/>
  <c r="H153" i="4"/>
  <c r="BJ151" i="4"/>
  <c r="BF151" i="4"/>
  <c r="BD151" i="4"/>
  <c r="AP151" i="4"/>
  <c r="BI151" i="4" s="1"/>
  <c r="AE151" i="4" s="1"/>
  <c r="AO151" i="4"/>
  <c r="AL151" i="4"/>
  <c r="AK151" i="4"/>
  <c r="AJ151" i="4"/>
  <c r="AH151" i="4"/>
  <c r="AG151" i="4"/>
  <c r="AF151" i="4"/>
  <c r="AC151" i="4"/>
  <c r="AB151" i="4"/>
  <c r="Z151" i="4"/>
  <c r="J151" i="4"/>
  <c r="I151" i="4"/>
  <c r="H151" i="4"/>
  <c r="BJ149" i="4"/>
  <c r="BF149" i="4"/>
  <c r="BD149" i="4"/>
  <c r="AX149" i="4"/>
  <c r="AP149" i="4"/>
  <c r="BI149" i="4" s="1"/>
  <c r="AE149" i="4" s="1"/>
  <c r="AO149" i="4"/>
  <c r="H149" i="4" s="1"/>
  <c r="AL149" i="4"/>
  <c r="AK149" i="4"/>
  <c r="AJ149" i="4"/>
  <c r="AH149" i="4"/>
  <c r="AG149" i="4"/>
  <c r="AF149" i="4"/>
  <c r="AC149" i="4"/>
  <c r="AB149" i="4"/>
  <c r="Z149" i="4"/>
  <c r="J149" i="4"/>
  <c r="I149" i="4"/>
  <c r="BJ147" i="4"/>
  <c r="BF147" i="4"/>
  <c r="BD147" i="4"/>
  <c r="AP147" i="4"/>
  <c r="AO147" i="4"/>
  <c r="BH147" i="4" s="1"/>
  <c r="AD147" i="4" s="1"/>
  <c r="AK147" i="4"/>
  <c r="AJ147" i="4"/>
  <c r="AH147" i="4"/>
  <c r="AG147" i="4"/>
  <c r="AF147" i="4"/>
  <c r="AC147" i="4"/>
  <c r="AB147" i="4"/>
  <c r="Z147" i="4"/>
  <c r="J147" i="4"/>
  <c r="BJ145" i="4"/>
  <c r="BF145" i="4"/>
  <c r="BD145" i="4"/>
  <c r="AP145" i="4"/>
  <c r="BI145" i="4" s="1"/>
  <c r="AO145" i="4"/>
  <c r="BH145" i="4" s="1"/>
  <c r="AD145" i="4" s="1"/>
  <c r="AK145" i="4"/>
  <c r="AJ145" i="4"/>
  <c r="AH145" i="4"/>
  <c r="AG145" i="4"/>
  <c r="AF145" i="4"/>
  <c r="AE145" i="4"/>
  <c r="AC145" i="4"/>
  <c r="AB145" i="4"/>
  <c r="Z145" i="4"/>
  <c r="J145" i="4"/>
  <c r="AL145" i="4" s="1"/>
  <c r="BJ143" i="4"/>
  <c r="BF143" i="4"/>
  <c r="BD143" i="4"/>
  <c r="AP143" i="4"/>
  <c r="I143" i="4" s="1"/>
  <c r="AO143" i="4"/>
  <c r="BH143" i="4" s="1"/>
  <c r="AD143" i="4" s="1"/>
  <c r="AK143" i="4"/>
  <c r="AJ143" i="4"/>
  <c r="AH143" i="4"/>
  <c r="AG143" i="4"/>
  <c r="AF143" i="4"/>
  <c r="AC143" i="4"/>
  <c r="AB143" i="4"/>
  <c r="Z143" i="4"/>
  <c r="J143" i="4"/>
  <c r="AL143" i="4" s="1"/>
  <c r="H143" i="4"/>
  <c r="BJ140" i="4"/>
  <c r="BF140" i="4"/>
  <c r="BD140" i="4"/>
  <c r="AP140" i="4"/>
  <c r="BI140" i="4" s="1"/>
  <c r="AE140" i="4" s="1"/>
  <c r="AO140" i="4"/>
  <c r="BH140" i="4" s="1"/>
  <c r="AD140" i="4" s="1"/>
  <c r="AL140" i="4"/>
  <c r="AK140" i="4"/>
  <c r="AJ140" i="4"/>
  <c r="AH140" i="4"/>
  <c r="AG140" i="4"/>
  <c r="AF140" i="4"/>
  <c r="AC140" i="4"/>
  <c r="AB140" i="4"/>
  <c r="Z140" i="4"/>
  <c r="J140" i="4"/>
  <c r="BJ139" i="4"/>
  <c r="BF139" i="4"/>
  <c r="BD139" i="4"/>
  <c r="AP139" i="4"/>
  <c r="BI139" i="4" s="1"/>
  <c r="AE139" i="4" s="1"/>
  <c r="AO139" i="4"/>
  <c r="BH139" i="4" s="1"/>
  <c r="AD139" i="4" s="1"/>
  <c r="AK139" i="4"/>
  <c r="AJ139" i="4"/>
  <c r="AH139" i="4"/>
  <c r="AG139" i="4"/>
  <c r="AF139" i="4"/>
  <c r="AC139" i="4"/>
  <c r="AB139" i="4"/>
  <c r="Z139" i="4"/>
  <c r="J139" i="4"/>
  <c r="BJ137" i="4"/>
  <c r="BF137" i="4"/>
  <c r="BD137" i="4"/>
  <c r="AW137" i="4"/>
  <c r="AP137" i="4"/>
  <c r="BI137" i="4" s="1"/>
  <c r="AE137" i="4" s="1"/>
  <c r="AO137" i="4"/>
  <c r="H137" i="4" s="1"/>
  <c r="AK137" i="4"/>
  <c r="AJ137" i="4"/>
  <c r="AH137" i="4"/>
  <c r="AG137" i="4"/>
  <c r="AF137" i="4"/>
  <c r="AC137" i="4"/>
  <c r="AB137" i="4"/>
  <c r="Z137" i="4"/>
  <c r="J137" i="4"/>
  <c r="AL137" i="4" s="1"/>
  <c r="BJ135" i="4"/>
  <c r="BF135" i="4"/>
  <c r="BD135" i="4"/>
  <c r="AP135" i="4"/>
  <c r="I135" i="4" s="1"/>
  <c r="AO135" i="4"/>
  <c r="BH135" i="4" s="1"/>
  <c r="AD135" i="4" s="1"/>
  <c r="AK135" i="4"/>
  <c r="AJ135" i="4"/>
  <c r="AH135" i="4"/>
  <c r="AG135" i="4"/>
  <c r="AF135" i="4"/>
  <c r="AC135" i="4"/>
  <c r="AB135" i="4"/>
  <c r="Z135" i="4"/>
  <c r="J135" i="4"/>
  <c r="AL135" i="4" s="1"/>
  <c r="BJ134" i="4"/>
  <c r="BF134" i="4"/>
  <c r="BD134" i="4"/>
  <c r="AP134" i="4"/>
  <c r="BI134" i="4" s="1"/>
  <c r="AE134" i="4" s="1"/>
  <c r="AO134" i="4"/>
  <c r="AL134" i="4"/>
  <c r="AK134" i="4"/>
  <c r="AJ134" i="4"/>
  <c r="AH134" i="4"/>
  <c r="AG134" i="4"/>
  <c r="AF134" i="4"/>
  <c r="AC134" i="4"/>
  <c r="AB134" i="4"/>
  <c r="Z134" i="4"/>
  <c r="J134" i="4"/>
  <c r="BJ131" i="4"/>
  <c r="BH131" i="4"/>
  <c r="AD131" i="4" s="1"/>
  <c r="BF131" i="4"/>
  <c r="BD131" i="4"/>
  <c r="AX131" i="4"/>
  <c r="BC131" i="4" s="1"/>
  <c r="AP131" i="4"/>
  <c r="I131" i="4" s="1"/>
  <c r="AO131" i="4"/>
  <c r="AW131" i="4" s="1"/>
  <c r="AK131" i="4"/>
  <c r="AJ131" i="4"/>
  <c r="AH131" i="4"/>
  <c r="AG131" i="4"/>
  <c r="AF131" i="4"/>
  <c r="AC131" i="4"/>
  <c r="AB131" i="4"/>
  <c r="Z131" i="4"/>
  <c r="J131" i="4"/>
  <c r="AL131" i="4" s="1"/>
  <c r="H131" i="4"/>
  <c r="BJ130" i="4"/>
  <c r="BF130" i="4"/>
  <c r="BD130" i="4"/>
  <c r="AP130" i="4"/>
  <c r="AX130" i="4" s="1"/>
  <c r="AO130" i="4"/>
  <c r="AK130" i="4"/>
  <c r="AJ130" i="4"/>
  <c r="AH130" i="4"/>
  <c r="AG130" i="4"/>
  <c r="AF130" i="4"/>
  <c r="AC130" i="4"/>
  <c r="AB130" i="4"/>
  <c r="Z130" i="4"/>
  <c r="J130" i="4"/>
  <c r="AL130" i="4" s="1"/>
  <c r="I130" i="4"/>
  <c r="H130" i="4"/>
  <c r="BJ128" i="4"/>
  <c r="BF128" i="4"/>
  <c r="BD128" i="4"/>
  <c r="AP128" i="4"/>
  <c r="BI128" i="4" s="1"/>
  <c r="AE128" i="4" s="1"/>
  <c r="AO128" i="4"/>
  <c r="BH128" i="4" s="1"/>
  <c r="AD128" i="4" s="1"/>
  <c r="AK128" i="4"/>
  <c r="AJ128" i="4"/>
  <c r="AH128" i="4"/>
  <c r="AG128" i="4"/>
  <c r="AF128" i="4"/>
  <c r="AC128" i="4"/>
  <c r="AB128" i="4"/>
  <c r="Z128" i="4"/>
  <c r="J128" i="4"/>
  <c r="AL128" i="4" s="1"/>
  <c r="BJ127" i="4"/>
  <c r="BF127" i="4"/>
  <c r="BD127" i="4"/>
  <c r="AP127" i="4"/>
  <c r="AO127" i="4"/>
  <c r="BH127" i="4" s="1"/>
  <c r="AD127" i="4" s="1"/>
  <c r="AK127" i="4"/>
  <c r="AJ127" i="4"/>
  <c r="AH127" i="4"/>
  <c r="AG127" i="4"/>
  <c r="AF127" i="4"/>
  <c r="AC127" i="4"/>
  <c r="AB127" i="4"/>
  <c r="Z127" i="4"/>
  <c r="J127" i="4"/>
  <c r="AL127" i="4" s="1"/>
  <c r="BJ124" i="4"/>
  <c r="BF124" i="4"/>
  <c r="BD124" i="4"/>
  <c r="AP124" i="4"/>
  <c r="AO124" i="4"/>
  <c r="BH124" i="4" s="1"/>
  <c r="AD124" i="4" s="1"/>
  <c r="AK124" i="4"/>
  <c r="AJ124" i="4"/>
  <c r="AS123" i="4" s="1"/>
  <c r="AH124" i="4"/>
  <c r="AG124" i="4"/>
  <c r="AF124" i="4"/>
  <c r="AC124" i="4"/>
  <c r="AB124" i="4"/>
  <c r="Z124" i="4"/>
  <c r="J124" i="4"/>
  <c r="AT123" i="4"/>
  <c r="BJ122" i="4"/>
  <c r="BF122" i="4"/>
  <c r="BD122" i="4"/>
  <c r="AP122" i="4"/>
  <c r="BI122" i="4" s="1"/>
  <c r="AE122" i="4" s="1"/>
  <c r="AO122" i="4"/>
  <c r="BH122" i="4" s="1"/>
  <c r="AD122" i="4" s="1"/>
  <c r="AK122" i="4"/>
  <c r="AJ122" i="4"/>
  <c r="AH122" i="4"/>
  <c r="AG122" i="4"/>
  <c r="AF122" i="4"/>
  <c r="AC122" i="4"/>
  <c r="AB122" i="4"/>
  <c r="Z122" i="4"/>
  <c r="J122" i="4"/>
  <c r="AL122" i="4" s="1"/>
  <c r="H122" i="4"/>
  <c r="BJ121" i="4"/>
  <c r="BF121" i="4"/>
  <c r="BD121" i="4"/>
  <c r="AP121" i="4"/>
  <c r="AO121" i="4"/>
  <c r="AK121" i="4"/>
  <c r="AJ121" i="4"/>
  <c r="AH121" i="4"/>
  <c r="AG121" i="4"/>
  <c r="AF121" i="4"/>
  <c r="AC121" i="4"/>
  <c r="AB121" i="4"/>
  <c r="Z121" i="4"/>
  <c r="J121" i="4"/>
  <c r="AL121" i="4" s="1"/>
  <c r="BJ120" i="4"/>
  <c r="BF120" i="4"/>
  <c r="BD120" i="4"/>
  <c r="AP120" i="4"/>
  <c r="AO120" i="4"/>
  <c r="BH120" i="4" s="1"/>
  <c r="AD120" i="4" s="1"/>
  <c r="AK120" i="4"/>
  <c r="AJ120" i="4"/>
  <c r="AH120" i="4"/>
  <c r="AG120" i="4"/>
  <c r="AF120" i="4"/>
  <c r="AC120" i="4"/>
  <c r="AB120" i="4"/>
  <c r="Z120" i="4"/>
  <c r="J120" i="4"/>
  <c r="AL120" i="4" s="1"/>
  <c r="BJ119" i="4"/>
  <c r="BF119" i="4"/>
  <c r="BD119" i="4"/>
  <c r="AP119" i="4"/>
  <c r="BI119" i="4" s="1"/>
  <c r="AE119" i="4" s="1"/>
  <c r="AO119" i="4"/>
  <c r="BH119" i="4" s="1"/>
  <c r="AD119" i="4" s="1"/>
  <c r="AK119" i="4"/>
  <c r="AJ119" i="4"/>
  <c r="AH119" i="4"/>
  <c r="AG119" i="4"/>
  <c r="AF119" i="4"/>
  <c r="AC119" i="4"/>
  <c r="AB119" i="4"/>
  <c r="Z119" i="4"/>
  <c r="J119" i="4"/>
  <c r="AL119" i="4" s="1"/>
  <c r="BJ118" i="4"/>
  <c r="BF118" i="4"/>
  <c r="BD118" i="4"/>
  <c r="AW118" i="4"/>
  <c r="AP118" i="4"/>
  <c r="BI118" i="4" s="1"/>
  <c r="AE118" i="4" s="1"/>
  <c r="AO118" i="4"/>
  <c r="BH118" i="4" s="1"/>
  <c r="AD118" i="4" s="1"/>
  <c r="AK118" i="4"/>
  <c r="AJ118" i="4"/>
  <c r="AH118" i="4"/>
  <c r="AG118" i="4"/>
  <c r="AF118" i="4"/>
  <c r="AC118" i="4"/>
  <c r="AB118" i="4"/>
  <c r="Z118" i="4"/>
  <c r="J118" i="4"/>
  <c r="AL118" i="4" s="1"/>
  <c r="H118" i="4"/>
  <c r="BJ117" i="4"/>
  <c r="BH117" i="4"/>
  <c r="AD117" i="4" s="1"/>
  <c r="BF117" i="4"/>
  <c r="BD117" i="4"/>
  <c r="AP117" i="4"/>
  <c r="AO117" i="4"/>
  <c r="AK117" i="4"/>
  <c r="AJ117" i="4"/>
  <c r="AH117" i="4"/>
  <c r="AG117" i="4"/>
  <c r="AF117" i="4"/>
  <c r="AC117" i="4"/>
  <c r="AB117" i="4"/>
  <c r="Z117" i="4"/>
  <c r="J117" i="4"/>
  <c r="AL117" i="4" s="1"/>
  <c r="BJ116" i="4"/>
  <c r="BF116" i="4"/>
  <c r="BD116" i="4"/>
  <c r="AP116" i="4"/>
  <c r="AO116" i="4"/>
  <c r="BH116" i="4" s="1"/>
  <c r="AD116" i="4" s="1"/>
  <c r="AK116" i="4"/>
  <c r="AJ116" i="4"/>
  <c r="AH116" i="4"/>
  <c r="AG116" i="4"/>
  <c r="AF116" i="4"/>
  <c r="AC116" i="4"/>
  <c r="AB116" i="4"/>
  <c r="Z116" i="4"/>
  <c r="J116" i="4"/>
  <c r="AL116" i="4" s="1"/>
  <c r="BJ115" i="4"/>
  <c r="BF115" i="4"/>
  <c r="BD115" i="4"/>
  <c r="AP115" i="4"/>
  <c r="BI115" i="4" s="1"/>
  <c r="AE115" i="4" s="1"/>
  <c r="AO115" i="4"/>
  <c r="BH115" i="4" s="1"/>
  <c r="AD115" i="4" s="1"/>
  <c r="AK115" i="4"/>
  <c r="AJ115" i="4"/>
  <c r="AH115" i="4"/>
  <c r="AG115" i="4"/>
  <c r="AF115" i="4"/>
  <c r="AC115" i="4"/>
  <c r="AB115" i="4"/>
  <c r="Z115" i="4"/>
  <c r="J115" i="4"/>
  <c r="AL115" i="4" s="1"/>
  <c r="H115" i="4"/>
  <c r="BJ114" i="4"/>
  <c r="BF114" i="4"/>
  <c r="BD114" i="4"/>
  <c r="AW114" i="4"/>
  <c r="AP114" i="4"/>
  <c r="BI114" i="4" s="1"/>
  <c r="AE114" i="4" s="1"/>
  <c r="AO114" i="4"/>
  <c r="BH114" i="4" s="1"/>
  <c r="AD114" i="4" s="1"/>
  <c r="AK114" i="4"/>
  <c r="AJ114" i="4"/>
  <c r="AH114" i="4"/>
  <c r="AG114" i="4"/>
  <c r="AF114" i="4"/>
  <c r="AC114" i="4"/>
  <c r="AB114" i="4"/>
  <c r="Z114" i="4"/>
  <c r="J114" i="4"/>
  <c r="AL114" i="4" s="1"/>
  <c r="I114" i="4"/>
  <c r="BJ113" i="4"/>
  <c r="BF113" i="4"/>
  <c r="BD113" i="4"/>
  <c r="AP113" i="4"/>
  <c r="AO113" i="4"/>
  <c r="BH113" i="4" s="1"/>
  <c r="AD113" i="4" s="1"/>
  <c r="AK113" i="4"/>
  <c r="AJ113" i="4"/>
  <c r="AH113" i="4"/>
  <c r="AG113" i="4"/>
  <c r="AF113" i="4"/>
  <c r="AC113" i="4"/>
  <c r="AB113" i="4"/>
  <c r="Z113" i="4"/>
  <c r="J113" i="4"/>
  <c r="BJ112" i="4"/>
  <c r="BF112" i="4"/>
  <c r="BD112" i="4"/>
  <c r="AP112" i="4"/>
  <c r="AO112" i="4"/>
  <c r="BH112" i="4" s="1"/>
  <c r="AD112" i="4" s="1"/>
  <c r="AK112" i="4"/>
  <c r="AJ112" i="4"/>
  <c r="AH112" i="4"/>
  <c r="AG112" i="4"/>
  <c r="AF112" i="4"/>
  <c r="AC112" i="4"/>
  <c r="AB112" i="4"/>
  <c r="Z112" i="4"/>
  <c r="J112" i="4"/>
  <c r="AL112" i="4" s="1"/>
  <c r="BJ111" i="4"/>
  <c r="BF111" i="4"/>
  <c r="BD111" i="4"/>
  <c r="AP111" i="4"/>
  <c r="BI111" i="4" s="1"/>
  <c r="AE111" i="4" s="1"/>
  <c r="AO111" i="4"/>
  <c r="BH111" i="4" s="1"/>
  <c r="AD111" i="4" s="1"/>
  <c r="AK111" i="4"/>
  <c r="AJ111" i="4"/>
  <c r="AH111" i="4"/>
  <c r="AG111" i="4"/>
  <c r="AF111" i="4"/>
  <c r="AC111" i="4"/>
  <c r="AB111" i="4"/>
  <c r="Z111" i="4"/>
  <c r="J111" i="4"/>
  <c r="AL111" i="4" s="1"/>
  <c r="BJ110" i="4"/>
  <c r="BF110" i="4"/>
  <c r="BD110" i="4"/>
  <c r="AP110" i="4"/>
  <c r="BI110" i="4" s="1"/>
  <c r="AE110" i="4" s="1"/>
  <c r="AO110" i="4"/>
  <c r="BH110" i="4" s="1"/>
  <c r="AD110" i="4" s="1"/>
  <c r="AL110" i="4"/>
  <c r="AK110" i="4"/>
  <c r="AJ110" i="4"/>
  <c r="AH110" i="4"/>
  <c r="AG110" i="4"/>
  <c r="AF110" i="4"/>
  <c r="AC110" i="4"/>
  <c r="AB110" i="4"/>
  <c r="Z110" i="4"/>
  <c r="J110" i="4"/>
  <c r="I110" i="4"/>
  <c r="H110" i="4"/>
  <c r="BJ108" i="4"/>
  <c r="BF108" i="4"/>
  <c r="BD108" i="4"/>
  <c r="AP108" i="4"/>
  <c r="BI108" i="4" s="1"/>
  <c r="AE108" i="4" s="1"/>
  <c r="AO108" i="4"/>
  <c r="AK108" i="4"/>
  <c r="AJ108" i="4"/>
  <c r="AH108" i="4"/>
  <c r="AG108" i="4"/>
  <c r="AF108" i="4"/>
  <c r="AC108" i="4"/>
  <c r="AB108" i="4"/>
  <c r="Z108" i="4"/>
  <c r="J108" i="4"/>
  <c r="AL108" i="4" s="1"/>
  <c r="BJ106" i="4"/>
  <c r="BF106" i="4"/>
  <c r="BD106" i="4"/>
  <c r="AP106" i="4"/>
  <c r="BI106" i="4" s="1"/>
  <c r="AE106" i="4" s="1"/>
  <c r="AO106" i="4"/>
  <c r="AL106" i="4"/>
  <c r="AK106" i="4"/>
  <c r="AJ106" i="4"/>
  <c r="AH106" i="4"/>
  <c r="AG106" i="4"/>
  <c r="AF106" i="4"/>
  <c r="AC106" i="4"/>
  <c r="AB106" i="4"/>
  <c r="Z106" i="4"/>
  <c r="J106" i="4"/>
  <c r="I106" i="4"/>
  <c r="H106" i="4"/>
  <c r="BJ105" i="4"/>
  <c r="BF105" i="4"/>
  <c r="BD105" i="4"/>
  <c r="AX105" i="4"/>
  <c r="AP105" i="4"/>
  <c r="BI105" i="4" s="1"/>
  <c r="AE105" i="4" s="1"/>
  <c r="AO105" i="4"/>
  <c r="H105" i="4" s="1"/>
  <c r="AK105" i="4"/>
  <c r="AJ105" i="4"/>
  <c r="AH105" i="4"/>
  <c r="AG105" i="4"/>
  <c r="AF105" i="4"/>
  <c r="AC105" i="4"/>
  <c r="AB105" i="4"/>
  <c r="Z105" i="4"/>
  <c r="J105" i="4"/>
  <c r="AL105" i="4" s="1"/>
  <c r="I105" i="4"/>
  <c r="BJ104" i="4"/>
  <c r="BF104" i="4"/>
  <c r="BD104" i="4"/>
  <c r="AP104" i="4"/>
  <c r="I104" i="4" s="1"/>
  <c r="AO104" i="4"/>
  <c r="BH104" i="4" s="1"/>
  <c r="AD104" i="4" s="1"/>
  <c r="AK104" i="4"/>
  <c r="AJ104" i="4"/>
  <c r="AH104" i="4"/>
  <c r="AG104" i="4"/>
  <c r="AF104" i="4"/>
  <c r="AC104" i="4"/>
  <c r="AB104" i="4"/>
  <c r="Z104" i="4"/>
  <c r="J104" i="4"/>
  <c r="AL104" i="4" s="1"/>
  <c r="BJ103" i="4"/>
  <c r="BF103" i="4"/>
  <c r="BD103" i="4"/>
  <c r="AW103" i="4"/>
  <c r="AP103" i="4"/>
  <c r="AO103" i="4"/>
  <c r="BH103" i="4" s="1"/>
  <c r="AD103" i="4" s="1"/>
  <c r="AK103" i="4"/>
  <c r="AJ103" i="4"/>
  <c r="AH103" i="4"/>
  <c r="AG103" i="4"/>
  <c r="AF103" i="4"/>
  <c r="AC103" i="4"/>
  <c r="AB103" i="4"/>
  <c r="Z103" i="4"/>
  <c r="J103" i="4"/>
  <c r="AL103" i="4" s="1"/>
  <c r="H103" i="4"/>
  <c r="BJ102" i="4"/>
  <c r="BF102" i="4"/>
  <c r="BD102" i="4"/>
  <c r="AP102" i="4"/>
  <c r="I102" i="4" s="1"/>
  <c r="AO102" i="4"/>
  <c r="BH102" i="4" s="1"/>
  <c r="AD102" i="4" s="1"/>
  <c r="AK102" i="4"/>
  <c r="AJ102" i="4"/>
  <c r="AH102" i="4"/>
  <c r="AG102" i="4"/>
  <c r="AF102" i="4"/>
  <c r="AC102" i="4"/>
  <c r="AB102" i="4"/>
  <c r="Z102" i="4"/>
  <c r="J102" i="4"/>
  <c r="AL102" i="4" s="1"/>
  <c r="H102" i="4"/>
  <c r="BJ101" i="4"/>
  <c r="BH101" i="4"/>
  <c r="AD101" i="4" s="1"/>
  <c r="BF101" i="4"/>
  <c r="BD101" i="4"/>
  <c r="AW101" i="4"/>
  <c r="AP101" i="4"/>
  <c r="AO101" i="4"/>
  <c r="H101" i="4" s="1"/>
  <c r="AK101" i="4"/>
  <c r="AJ101" i="4"/>
  <c r="AH101" i="4"/>
  <c r="AG101" i="4"/>
  <c r="AF101" i="4"/>
  <c r="AC101" i="4"/>
  <c r="AB101" i="4"/>
  <c r="Z101" i="4"/>
  <c r="J101" i="4"/>
  <c r="AL101" i="4" s="1"/>
  <c r="I101" i="4"/>
  <c r="BJ100" i="4"/>
  <c r="BF100" i="4"/>
  <c r="BD100" i="4"/>
  <c r="AP100" i="4"/>
  <c r="I100" i="4" s="1"/>
  <c r="AO100" i="4"/>
  <c r="BH100" i="4" s="1"/>
  <c r="AD100" i="4" s="1"/>
  <c r="AK100" i="4"/>
  <c r="AJ100" i="4"/>
  <c r="AH100" i="4"/>
  <c r="AG100" i="4"/>
  <c r="AF100" i="4"/>
  <c r="AC100" i="4"/>
  <c r="AB100" i="4"/>
  <c r="Z100" i="4"/>
  <c r="J100" i="4"/>
  <c r="AL100" i="4" s="1"/>
  <c r="BJ99" i="4"/>
  <c r="BF99" i="4"/>
  <c r="BD99" i="4"/>
  <c r="AW99" i="4"/>
  <c r="AP99" i="4"/>
  <c r="BI99" i="4" s="1"/>
  <c r="AE99" i="4" s="1"/>
  <c r="AO99" i="4"/>
  <c r="BH99" i="4" s="1"/>
  <c r="AD99" i="4" s="1"/>
  <c r="AK99" i="4"/>
  <c r="AJ99" i="4"/>
  <c r="AH99" i="4"/>
  <c r="AG99" i="4"/>
  <c r="AF99" i="4"/>
  <c r="AC99" i="4"/>
  <c r="AB99" i="4"/>
  <c r="Z99" i="4"/>
  <c r="J99" i="4"/>
  <c r="AL99" i="4" s="1"/>
  <c r="H99" i="4"/>
  <c r="BJ98" i="4"/>
  <c r="BF98" i="4"/>
  <c r="BD98" i="4"/>
  <c r="AP98" i="4"/>
  <c r="BI98" i="4" s="1"/>
  <c r="AE98" i="4" s="1"/>
  <c r="AO98" i="4"/>
  <c r="AL98" i="4"/>
  <c r="AK98" i="4"/>
  <c r="AJ98" i="4"/>
  <c r="AH98" i="4"/>
  <c r="AG98" i="4"/>
  <c r="AF98" i="4"/>
  <c r="AC98" i="4"/>
  <c r="AB98" i="4"/>
  <c r="Z98" i="4"/>
  <c r="J98" i="4"/>
  <c r="I98" i="4"/>
  <c r="H98" i="4"/>
  <c r="BJ97" i="4"/>
  <c r="BF97" i="4"/>
  <c r="BD97" i="4"/>
  <c r="AP97" i="4"/>
  <c r="BI97" i="4" s="1"/>
  <c r="AE97" i="4" s="1"/>
  <c r="AO97" i="4"/>
  <c r="AL97" i="4"/>
  <c r="AK97" i="4"/>
  <c r="AJ97" i="4"/>
  <c r="AH97" i="4"/>
  <c r="AG97" i="4"/>
  <c r="AF97" i="4"/>
  <c r="AC97" i="4"/>
  <c r="AB97" i="4"/>
  <c r="Z97" i="4"/>
  <c r="J97" i="4"/>
  <c r="I97" i="4"/>
  <c r="BJ96" i="4"/>
  <c r="BF96" i="4"/>
  <c r="BD96" i="4"/>
  <c r="AX96" i="4"/>
  <c r="AP96" i="4"/>
  <c r="I96" i="4" s="1"/>
  <c r="AO96" i="4"/>
  <c r="AK96" i="4"/>
  <c r="AJ96" i="4"/>
  <c r="AH96" i="4"/>
  <c r="AG96" i="4"/>
  <c r="AF96" i="4"/>
  <c r="AC96" i="4"/>
  <c r="AB96" i="4"/>
  <c r="Z96" i="4"/>
  <c r="J96" i="4"/>
  <c r="AL96" i="4" s="1"/>
  <c r="BJ95" i="4"/>
  <c r="BF95" i="4"/>
  <c r="BD95" i="4"/>
  <c r="AW95" i="4"/>
  <c r="AP95" i="4"/>
  <c r="BI95" i="4" s="1"/>
  <c r="AE95" i="4" s="1"/>
  <c r="AO95" i="4"/>
  <c r="BH95" i="4" s="1"/>
  <c r="AD95" i="4" s="1"/>
  <c r="AK95" i="4"/>
  <c r="AJ95" i="4"/>
  <c r="AH95" i="4"/>
  <c r="AG95" i="4"/>
  <c r="AF95" i="4"/>
  <c r="AC95" i="4"/>
  <c r="AB95" i="4"/>
  <c r="Z95" i="4"/>
  <c r="J95" i="4"/>
  <c r="AL95" i="4" s="1"/>
  <c r="H95" i="4"/>
  <c r="BJ94" i="4"/>
  <c r="BF94" i="4"/>
  <c r="BD94" i="4"/>
  <c r="AP94" i="4"/>
  <c r="BI94" i="4" s="1"/>
  <c r="AE94" i="4" s="1"/>
  <c r="AO94" i="4"/>
  <c r="AL94" i="4"/>
  <c r="AK94" i="4"/>
  <c r="AJ94" i="4"/>
  <c r="AH94" i="4"/>
  <c r="AG94" i="4"/>
  <c r="AF94" i="4"/>
  <c r="AC94" i="4"/>
  <c r="AB94" i="4"/>
  <c r="Z94" i="4"/>
  <c r="J94" i="4"/>
  <c r="I94" i="4"/>
  <c r="H94" i="4"/>
  <c r="BJ93" i="4"/>
  <c r="BF93" i="4"/>
  <c r="BD93" i="4"/>
  <c r="AX93" i="4"/>
  <c r="AP93" i="4"/>
  <c r="BI93" i="4" s="1"/>
  <c r="AE93" i="4" s="1"/>
  <c r="AO93" i="4"/>
  <c r="H93" i="4" s="1"/>
  <c r="AK93" i="4"/>
  <c r="AJ93" i="4"/>
  <c r="AH93" i="4"/>
  <c r="AG93" i="4"/>
  <c r="AF93" i="4"/>
  <c r="AC93" i="4"/>
  <c r="AB93" i="4"/>
  <c r="Z93" i="4"/>
  <c r="J93" i="4"/>
  <c r="AL93" i="4" s="1"/>
  <c r="I93" i="4"/>
  <c r="BJ92" i="4"/>
  <c r="BF92" i="4"/>
  <c r="BD92" i="4"/>
  <c r="AP92" i="4"/>
  <c r="I92" i="4" s="1"/>
  <c r="AO92" i="4"/>
  <c r="AK92" i="4"/>
  <c r="AJ92" i="4"/>
  <c r="AH92" i="4"/>
  <c r="AG92" i="4"/>
  <c r="AF92" i="4"/>
  <c r="AC92" i="4"/>
  <c r="AB92" i="4"/>
  <c r="Z92" i="4"/>
  <c r="J92" i="4"/>
  <c r="AL92" i="4" s="1"/>
  <c r="BJ91" i="4"/>
  <c r="BF91" i="4"/>
  <c r="BD91" i="4"/>
  <c r="AP91" i="4"/>
  <c r="BI91" i="4" s="1"/>
  <c r="AE91" i="4" s="1"/>
  <c r="AO91" i="4"/>
  <c r="BH91" i="4" s="1"/>
  <c r="AD91" i="4" s="1"/>
  <c r="AK91" i="4"/>
  <c r="AJ91" i="4"/>
  <c r="AH91" i="4"/>
  <c r="AG91" i="4"/>
  <c r="AF91" i="4"/>
  <c r="AC91" i="4"/>
  <c r="AB91" i="4"/>
  <c r="Z91" i="4"/>
  <c r="J91" i="4"/>
  <c r="AL91" i="4" s="1"/>
  <c r="BJ90" i="4"/>
  <c r="BF90" i="4"/>
  <c r="BD90" i="4"/>
  <c r="AW90" i="4"/>
  <c r="AP90" i="4"/>
  <c r="BI90" i="4" s="1"/>
  <c r="AE90" i="4" s="1"/>
  <c r="AO90" i="4"/>
  <c r="BH90" i="4" s="1"/>
  <c r="AD90" i="4" s="1"/>
  <c r="AK90" i="4"/>
  <c r="AJ90" i="4"/>
  <c r="AH90" i="4"/>
  <c r="AG90" i="4"/>
  <c r="AF90" i="4"/>
  <c r="AC90" i="4"/>
  <c r="AB90" i="4"/>
  <c r="Z90" i="4"/>
  <c r="J90" i="4"/>
  <c r="AL90" i="4" s="1"/>
  <c r="H90" i="4"/>
  <c r="BJ89" i="4"/>
  <c r="BH89" i="4"/>
  <c r="BF89" i="4"/>
  <c r="BD89" i="4"/>
  <c r="AX89" i="4"/>
  <c r="AW89" i="4"/>
  <c r="AP89" i="4"/>
  <c r="BI89" i="4" s="1"/>
  <c r="AE89" i="4" s="1"/>
  <c r="AO89" i="4"/>
  <c r="H89" i="4" s="1"/>
  <c r="AK89" i="4"/>
  <c r="AJ89" i="4"/>
  <c r="AH89" i="4"/>
  <c r="AG89" i="4"/>
  <c r="AF89" i="4"/>
  <c r="AD89" i="4"/>
  <c r="AC89" i="4"/>
  <c r="AB89" i="4"/>
  <c r="Z89" i="4"/>
  <c r="J89" i="4"/>
  <c r="I89" i="4"/>
  <c r="BJ88" i="4"/>
  <c r="BH88" i="4"/>
  <c r="AD88" i="4" s="1"/>
  <c r="BF88" i="4"/>
  <c r="BD88" i="4"/>
  <c r="AP88" i="4"/>
  <c r="AO88" i="4"/>
  <c r="AK88" i="4"/>
  <c r="AJ88" i="4"/>
  <c r="AH88" i="4"/>
  <c r="AG88" i="4"/>
  <c r="AF88" i="4"/>
  <c r="AC88" i="4"/>
  <c r="AB88" i="4"/>
  <c r="Z88" i="4"/>
  <c r="J88" i="4"/>
  <c r="AL88" i="4" s="1"/>
  <c r="BJ87" i="4"/>
  <c r="BF87" i="4"/>
  <c r="BD87" i="4"/>
  <c r="AP87" i="4"/>
  <c r="AO87" i="4"/>
  <c r="AK87" i="4"/>
  <c r="AJ87" i="4"/>
  <c r="AH87" i="4"/>
  <c r="AG87" i="4"/>
  <c r="AF87" i="4"/>
  <c r="AC87" i="4"/>
  <c r="AB87" i="4"/>
  <c r="Z87" i="4"/>
  <c r="J87" i="4"/>
  <c r="AL87" i="4" s="1"/>
  <c r="BJ86" i="4"/>
  <c r="BF86" i="4"/>
  <c r="BD86" i="4"/>
  <c r="AP86" i="4"/>
  <c r="BI86" i="4" s="1"/>
  <c r="AE86" i="4" s="1"/>
  <c r="AO86" i="4"/>
  <c r="H86" i="4" s="1"/>
  <c r="AL86" i="4"/>
  <c r="AK86" i="4"/>
  <c r="AJ86" i="4"/>
  <c r="AH86" i="4"/>
  <c r="AG86" i="4"/>
  <c r="AF86" i="4"/>
  <c r="AC86" i="4"/>
  <c r="AB86" i="4"/>
  <c r="Z86" i="4"/>
  <c r="J86" i="4"/>
  <c r="I86" i="4"/>
  <c r="BJ84" i="4"/>
  <c r="BF84" i="4"/>
  <c r="BD84" i="4"/>
  <c r="AP84" i="4"/>
  <c r="AO84" i="4"/>
  <c r="BH84" i="4" s="1"/>
  <c r="AD84" i="4" s="1"/>
  <c r="AK84" i="4"/>
  <c r="AJ84" i="4"/>
  <c r="AH84" i="4"/>
  <c r="AG84" i="4"/>
  <c r="AF84" i="4"/>
  <c r="AC84" i="4"/>
  <c r="AB84" i="4"/>
  <c r="Z84" i="4"/>
  <c r="J84" i="4"/>
  <c r="AL84" i="4" s="1"/>
  <c r="H84" i="4"/>
  <c r="BJ83" i="4"/>
  <c r="BF83" i="4"/>
  <c r="BD83" i="4"/>
  <c r="AW83" i="4"/>
  <c r="AP83" i="4"/>
  <c r="BI83" i="4" s="1"/>
  <c r="AE83" i="4" s="1"/>
  <c r="AO83" i="4"/>
  <c r="BH83" i="4" s="1"/>
  <c r="AD83" i="4" s="1"/>
  <c r="AK83" i="4"/>
  <c r="AJ83" i="4"/>
  <c r="AH83" i="4"/>
  <c r="AG83" i="4"/>
  <c r="AF83" i="4"/>
  <c r="AC83" i="4"/>
  <c r="AB83" i="4"/>
  <c r="Z83" i="4"/>
  <c r="J83" i="4"/>
  <c r="AL83" i="4" s="1"/>
  <c r="I83" i="4"/>
  <c r="BJ82" i="4"/>
  <c r="BF82" i="4"/>
  <c r="BD82" i="4"/>
  <c r="AP82" i="4"/>
  <c r="BI82" i="4" s="1"/>
  <c r="AE82" i="4" s="1"/>
  <c r="AO82" i="4"/>
  <c r="H82" i="4" s="1"/>
  <c r="AK82" i="4"/>
  <c r="AJ82" i="4"/>
  <c r="AH82" i="4"/>
  <c r="AG82" i="4"/>
  <c r="AF82" i="4"/>
  <c r="AC82" i="4"/>
  <c r="AB82" i="4"/>
  <c r="Z82" i="4"/>
  <c r="J82" i="4"/>
  <c r="AL82" i="4" s="1"/>
  <c r="I82" i="4"/>
  <c r="BJ81" i="4"/>
  <c r="BF81" i="4"/>
  <c r="BD81" i="4"/>
  <c r="AP81" i="4"/>
  <c r="I81" i="4" s="1"/>
  <c r="AO81" i="4"/>
  <c r="AK81" i="4"/>
  <c r="AJ81" i="4"/>
  <c r="AH81" i="4"/>
  <c r="AG81" i="4"/>
  <c r="AF81" i="4"/>
  <c r="AC81" i="4"/>
  <c r="AB81" i="4"/>
  <c r="Z81" i="4"/>
  <c r="J81" i="4"/>
  <c r="AL81" i="4" s="1"/>
  <c r="BJ80" i="4"/>
  <c r="BF80" i="4"/>
  <c r="BD80" i="4"/>
  <c r="AP80" i="4"/>
  <c r="BI80" i="4" s="1"/>
  <c r="AE80" i="4" s="1"/>
  <c r="AO80" i="4"/>
  <c r="BH80" i="4" s="1"/>
  <c r="AD80" i="4" s="1"/>
  <c r="AK80" i="4"/>
  <c r="AJ80" i="4"/>
  <c r="AH80" i="4"/>
  <c r="AG80" i="4"/>
  <c r="AF80" i="4"/>
  <c r="AC80" i="4"/>
  <c r="AB80" i="4"/>
  <c r="Z80" i="4"/>
  <c r="J80" i="4"/>
  <c r="AL80" i="4" s="1"/>
  <c r="BJ79" i="4"/>
  <c r="BF79" i="4"/>
  <c r="BD79" i="4"/>
  <c r="AP79" i="4"/>
  <c r="BI79" i="4" s="1"/>
  <c r="AE79" i="4" s="1"/>
  <c r="AO79" i="4"/>
  <c r="AK79" i="4"/>
  <c r="AJ79" i="4"/>
  <c r="AH79" i="4"/>
  <c r="AG79" i="4"/>
  <c r="AF79" i="4"/>
  <c r="AC79" i="4"/>
  <c r="AB79" i="4"/>
  <c r="Z79" i="4"/>
  <c r="J79" i="4"/>
  <c r="AL79" i="4" s="1"/>
  <c r="I79" i="4"/>
  <c r="H79" i="4"/>
  <c r="BJ78" i="4"/>
  <c r="BF78" i="4"/>
  <c r="BD78" i="4"/>
  <c r="AP78" i="4"/>
  <c r="BI78" i="4" s="1"/>
  <c r="AE78" i="4" s="1"/>
  <c r="AO78" i="4"/>
  <c r="AK78" i="4"/>
  <c r="AJ78" i="4"/>
  <c r="AH78" i="4"/>
  <c r="AG78" i="4"/>
  <c r="AF78" i="4"/>
  <c r="AC78" i="4"/>
  <c r="AB78" i="4"/>
  <c r="Z78" i="4"/>
  <c r="J78" i="4"/>
  <c r="AL78" i="4" s="1"/>
  <c r="I78" i="4"/>
  <c r="BJ77" i="4"/>
  <c r="BF77" i="4"/>
  <c r="BD77" i="4"/>
  <c r="AP77" i="4"/>
  <c r="I77" i="4" s="1"/>
  <c r="AO77" i="4"/>
  <c r="BH77" i="4" s="1"/>
  <c r="AD77" i="4" s="1"/>
  <c r="AK77" i="4"/>
  <c r="AJ77" i="4"/>
  <c r="AH77" i="4"/>
  <c r="AG77" i="4"/>
  <c r="AF77" i="4"/>
  <c r="AC77" i="4"/>
  <c r="AB77" i="4"/>
  <c r="Z77" i="4"/>
  <c r="J77" i="4"/>
  <c r="AL77" i="4" s="1"/>
  <c r="BJ76" i="4"/>
  <c r="BF76" i="4"/>
  <c r="BD76" i="4"/>
  <c r="AP76" i="4"/>
  <c r="AO76" i="4"/>
  <c r="BH76" i="4" s="1"/>
  <c r="AD76" i="4" s="1"/>
  <c r="AK76" i="4"/>
  <c r="AJ76" i="4"/>
  <c r="AH76" i="4"/>
  <c r="AG76" i="4"/>
  <c r="AF76" i="4"/>
  <c r="AC76" i="4"/>
  <c r="AB76" i="4"/>
  <c r="Z76" i="4"/>
  <c r="J76" i="4"/>
  <c r="AL76" i="4" s="1"/>
  <c r="H76" i="4"/>
  <c r="BJ75" i="4"/>
  <c r="BF75" i="4"/>
  <c r="BD75" i="4"/>
  <c r="AW75" i="4"/>
  <c r="AP75" i="4"/>
  <c r="BI75" i="4" s="1"/>
  <c r="AE75" i="4" s="1"/>
  <c r="AO75" i="4"/>
  <c r="BH75" i="4" s="1"/>
  <c r="AD75" i="4" s="1"/>
  <c r="AK75" i="4"/>
  <c r="AJ75" i="4"/>
  <c r="AH75" i="4"/>
  <c r="AG75" i="4"/>
  <c r="AF75" i="4"/>
  <c r="AC75" i="4"/>
  <c r="AB75" i="4"/>
  <c r="Z75" i="4"/>
  <c r="J75" i="4"/>
  <c r="AL75" i="4" s="1"/>
  <c r="H75" i="4"/>
  <c r="BJ74" i="4"/>
  <c r="BF74" i="4"/>
  <c r="BD74" i="4"/>
  <c r="AP74" i="4"/>
  <c r="BI74" i="4" s="1"/>
  <c r="AE74" i="4" s="1"/>
  <c r="AO74" i="4"/>
  <c r="H74" i="4" s="1"/>
  <c r="AL74" i="4"/>
  <c r="AK74" i="4"/>
  <c r="AJ74" i="4"/>
  <c r="AH74" i="4"/>
  <c r="AG74" i="4"/>
  <c r="AF74" i="4"/>
  <c r="AC74" i="4"/>
  <c r="AB74" i="4"/>
  <c r="Z74" i="4"/>
  <c r="J74" i="4"/>
  <c r="BJ73" i="4"/>
  <c r="BF73" i="4"/>
  <c r="BD73" i="4"/>
  <c r="AP73" i="4"/>
  <c r="I73" i="4" s="1"/>
  <c r="AO73" i="4"/>
  <c r="AK73" i="4"/>
  <c r="AJ73" i="4"/>
  <c r="AH73" i="4"/>
  <c r="AG73" i="4"/>
  <c r="AF73" i="4"/>
  <c r="AC73" i="4"/>
  <c r="AB73" i="4"/>
  <c r="Z73" i="4"/>
  <c r="J73" i="4"/>
  <c r="AL73" i="4" s="1"/>
  <c r="BJ72" i="4"/>
  <c r="BF72" i="4"/>
  <c r="BD72" i="4"/>
  <c r="AP72" i="4"/>
  <c r="BI72" i="4" s="1"/>
  <c r="AE72" i="4" s="1"/>
  <c r="AO72" i="4"/>
  <c r="BH72" i="4" s="1"/>
  <c r="AD72" i="4" s="1"/>
  <c r="AK72" i="4"/>
  <c r="AJ72" i="4"/>
  <c r="AH72" i="4"/>
  <c r="AG72" i="4"/>
  <c r="AF72" i="4"/>
  <c r="AC72" i="4"/>
  <c r="AB72" i="4"/>
  <c r="Z72" i="4"/>
  <c r="J72" i="4"/>
  <c r="AL72" i="4" s="1"/>
  <c r="BJ71" i="4"/>
  <c r="BF71" i="4"/>
  <c r="BD71" i="4"/>
  <c r="AP71" i="4"/>
  <c r="BI71" i="4" s="1"/>
  <c r="AE71" i="4" s="1"/>
  <c r="AO71" i="4"/>
  <c r="H71" i="4" s="1"/>
  <c r="AK71" i="4"/>
  <c r="AJ71" i="4"/>
  <c r="AH71" i="4"/>
  <c r="AG71" i="4"/>
  <c r="AF71" i="4"/>
  <c r="AC71" i="4"/>
  <c r="AB71" i="4"/>
  <c r="Z71" i="4"/>
  <c r="J71" i="4"/>
  <c r="AL71" i="4" s="1"/>
  <c r="I71" i="4"/>
  <c r="BJ70" i="4"/>
  <c r="BF70" i="4"/>
  <c r="BD70" i="4"/>
  <c r="AP70" i="4"/>
  <c r="AO70" i="4"/>
  <c r="BH70" i="4" s="1"/>
  <c r="AD70" i="4" s="1"/>
  <c r="AK70" i="4"/>
  <c r="AJ70" i="4"/>
  <c r="AH70" i="4"/>
  <c r="AG70" i="4"/>
  <c r="AF70" i="4"/>
  <c r="AC70" i="4"/>
  <c r="AB70" i="4"/>
  <c r="Z70" i="4"/>
  <c r="J70" i="4"/>
  <c r="I70" i="4"/>
  <c r="BJ68" i="4"/>
  <c r="BF68" i="4"/>
  <c r="BD68" i="4"/>
  <c r="AW68" i="4"/>
  <c r="AP68" i="4"/>
  <c r="AX68" i="4" s="1"/>
  <c r="AO68" i="4"/>
  <c r="BH68" i="4" s="1"/>
  <c r="AD68" i="4" s="1"/>
  <c r="AK68" i="4"/>
  <c r="AJ68" i="4"/>
  <c r="AH68" i="4"/>
  <c r="AG68" i="4"/>
  <c r="AF68" i="4"/>
  <c r="AC68" i="4"/>
  <c r="AB68" i="4"/>
  <c r="Z68" i="4"/>
  <c r="J68" i="4"/>
  <c r="AL68" i="4" s="1"/>
  <c r="H68" i="4"/>
  <c r="BJ67" i="4"/>
  <c r="BF67" i="4"/>
  <c r="BD67" i="4"/>
  <c r="AP67" i="4"/>
  <c r="BI67" i="4" s="1"/>
  <c r="AE67" i="4" s="1"/>
  <c r="AO67" i="4"/>
  <c r="H67" i="4" s="1"/>
  <c r="AK67" i="4"/>
  <c r="AJ67" i="4"/>
  <c r="AH67" i="4"/>
  <c r="AG67" i="4"/>
  <c r="AF67" i="4"/>
  <c r="AC67" i="4"/>
  <c r="AB67" i="4"/>
  <c r="Z67" i="4"/>
  <c r="J67" i="4"/>
  <c r="AL67" i="4" s="1"/>
  <c r="BJ66" i="4"/>
  <c r="BF66" i="4"/>
  <c r="BD66" i="4"/>
  <c r="AP66" i="4"/>
  <c r="BI66" i="4" s="1"/>
  <c r="AE66" i="4" s="1"/>
  <c r="AO66" i="4"/>
  <c r="AK66" i="4"/>
  <c r="AJ66" i="4"/>
  <c r="AH66" i="4"/>
  <c r="AG66" i="4"/>
  <c r="AF66" i="4"/>
  <c r="AC66" i="4"/>
  <c r="AB66" i="4"/>
  <c r="Z66" i="4"/>
  <c r="J66" i="4"/>
  <c r="AL66" i="4" s="1"/>
  <c r="BJ65" i="4"/>
  <c r="BF65" i="4"/>
  <c r="BD65" i="4"/>
  <c r="AP65" i="4"/>
  <c r="AX65" i="4" s="1"/>
  <c r="AO65" i="4"/>
  <c r="AW65" i="4" s="1"/>
  <c r="AV65" i="4" s="1"/>
  <c r="AK65" i="4"/>
  <c r="AJ65" i="4"/>
  <c r="AH65" i="4"/>
  <c r="AG65" i="4"/>
  <c r="AF65" i="4"/>
  <c r="AC65" i="4"/>
  <c r="AB65" i="4"/>
  <c r="Z65" i="4"/>
  <c r="J65" i="4"/>
  <c r="AL65" i="4" s="1"/>
  <c r="I65" i="4"/>
  <c r="BJ64" i="4"/>
  <c r="BF64" i="4"/>
  <c r="BD64" i="4"/>
  <c r="AX64" i="4"/>
  <c r="AP64" i="4"/>
  <c r="I64" i="4" s="1"/>
  <c r="AO64" i="4"/>
  <c r="AW64" i="4" s="1"/>
  <c r="AK64" i="4"/>
  <c r="AJ64" i="4"/>
  <c r="AH64" i="4"/>
  <c r="AG64" i="4"/>
  <c r="AF64" i="4"/>
  <c r="AC64" i="4"/>
  <c r="AB64" i="4"/>
  <c r="Z64" i="4"/>
  <c r="J64" i="4"/>
  <c r="AL64" i="4" s="1"/>
  <c r="BJ63" i="4"/>
  <c r="BF63" i="4"/>
  <c r="BD63" i="4"/>
  <c r="AP63" i="4"/>
  <c r="AX63" i="4" s="1"/>
  <c r="AO63" i="4"/>
  <c r="BH63" i="4" s="1"/>
  <c r="AD63" i="4" s="1"/>
  <c r="AK63" i="4"/>
  <c r="AJ63" i="4"/>
  <c r="AH63" i="4"/>
  <c r="AG63" i="4"/>
  <c r="AF63" i="4"/>
  <c r="AC63" i="4"/>
  <c r="AB63" i="4"/>
  <c r="Z63" i="4"/>
  <c r="J63" i="4"/>
  <c r="AL63" i="4" s="1"/>
  <c r="H63" i="4"/>
  <c r="BJ62" i="4"/>
  <c r="BF62" i="4"/>
  <c r="BD62" i="4"/>
  <c r="AP62" i="4"/>
  <c r="BI62" i="4" s="1"/>
  <c r="AE62" i="4" s="1"/>
  <c r="AO62" i="4"/>
  <c r="BH62" i="4" s="1"/>
  <c r="AD62" i="4" s="1"/>
  <c r="AK62" i="4"/>
  <c r="AJ62" i="4"/>
  <c r="AH62" i="4"/>
  <c r="AG62" i="4"/>
  <c r="AF62" i="4"/>
  <c r="AC62" i="4"/>
  <c r="AB62" i="4"/>
  <c r="Z62" i="4"/>
  <c r="J62" i="4"/>
  <c r="AL62" i="4" s="1"/>
  <c r="BJ61" i="4"/>
  <c r="BF61" i="4"/>
  <c r="BD61" i="4"/>
  <c r="AP61" i="4"/>
  <c r="AO61" i="4"/>
  <c r="AL61" i="4"/>
  <c r="AK61" i="4"/>
  <c r="AJ61" i="4"/>
  <c r="AH61" i="4"/>
  <c r="AG61" i="4"/>
  <c r="AF61" i="4"/>
  <c r="AC61" i="4"/>
  <c r="AB61" i="4"/>
  <c r="Z61" i="4"/>
  <c r="J61" i="4"/>
  <c r="I61" i="4"/>
  <c r="BJ60" i="4"/>
  <c r="BF60" i="4"/>
  <c r="BD60" i="4"/>
  <c r="AP60" i="4"/>
  <c r="I60" i="4" s="1"/>
  <c r="AO60" i="4"/>
  <c r="AW60" i="4" s="1"/>
  <c r="AK60" i="4"/>
  <c r="AJ60" i="4"/>
  <c r="AH60" i="4"/>
  <c r="AG60" i="4"/>
  <c r="AF60" i="4"/>
  <c r="AC60" i="4"/>
  <c r="AB60" i="4"/>
  <c r="Z60" i="4"/>
  <c r="J60" i="4"/>
  <c r="AL60" i="4" s="1"/>
  <c r="BJ59" i="4"/>
  <c r="BF59" i="4"/>
  <c r="BD59" i="4"/>
  <c r="AP59" i="4"/>
  <c r="AX59" i="4" s="1"/>
  <c r="AO59" i="4"/>
  <c r="AK59" i="4"/>
  <c r="AJ59" i="4"/>
  <c r="AH59" i="4"/>
  <c r="AG59" i="4"/>
  <c r="AF59" i="4"/>
  <c r="AC59" i="4"/>
  <c r="AB59" i="4"/>
  <c r="Z59" i="4"/>
  <c r="J59" i="4"/>
  <c r="AL59" i="4" s="1"/>
  <c r="BJ58" i="4"/>
  <c r="BF58" i="4"/>
  <c r="BD58" i="4"/>
  <c r="AP58" i="4"/>
  <c r="BI58" i="4" s="1"/>
  <c r="AE58" i="4" s="1"/>
  <c r="AO58" i="4"/>
  <c r="H58" i="4" s="1"/>
  <c r="AL58" i="4"/>
  <c r="AK58" i="4"/>
  <c r="AJ58" i="4"/>
  <c r="AH58" i="4"/>
  <c r="AG58" i="4"/>
  <c r="AF58" i="4"/>
  <c r="AC58" i="4"/>
  <c r="AB58" i="4"/>
  <c r="Z58" i="4"/>
  <c r="J58" i="4"/>
  <c r="I58" i="4"/>
  <c r="BJ57" i="4"/>
  <c r="BF57" i="4"/>
  <c r="BD57" i="4"/>
  <c r="AP57" i="4"/>
  <c r="BI57" i="4" s="1"/>
  <c r="AE57" i="4" s="1"/>
  <c r="AO57" i="4"/>
  <c r="H57" i="4" s="1"/>
  <c r="AK57" i="4"/>
  <c r="AJ57" i="4"/>
  <c r="AH57" i="4"/>
  <c r="AG57" i="4"/>
  <c r="AF57" i="4"/>
  <c r="AC57" i="4"/>
  <c r="AB57" i="4"/>
  <c r="Z57" i="4"/>
  <c r="J57" i="4"/>
  <c r="AL57" i="4" s="1"/>
  <c r="BJ56" i="4"/>
  <c r="BF56" i="4"/>
  <c r="BD56" i="4"/>
  <c r="AP56" i="4"/>
  <c r="I56" i="4" s="1"/>
  <c r="AO56" i="4"/>
  <c r="AW56" i="4" s="1"/>
  <c r="AK56" i="4"/>
  <c r="AJ56" i="4"/>
  <c r="AH56" i="4"/>
  <c r="AG56" i="4"/>
  <c r="AF56" i="4"/>
  <c r="AC56" i="4"/>
  <c r="AB56" i="4"/>
  <c r="Z56" i="4"/>
  <c r="J56" i="4"/>
  <c r="AL56" i="4" s="1"/>
  <c r="BJ53" i="4"/>
  <c r="BF53" i="4"/>
  <c r="BD53" i="4"/>
  <c r="AP53" i="4"/>
  <c r="AO53" i="4"/>
  <c r="AK53" i="4"/>
  <c r="AJ53" i="4"/>
  <c r="AH53" i="4"/>
  <c r="AG53" i="4"/>
  <c r="AF53" i="4"/>
  <c r="AC53" i="4"/>
  <c r="AB53" i="4"/>
  <c r="Z53" i="4"/>
  <c r="J53" i="4"/>
  <c r="AL53" i="4" s="1"/>
  <c r="I53" i="4"/>
  <c r="BJ51" i="4"/>
  <c r="BF51" i="4"/>
  <c r="BD51" i="4"/>
  <c r="AP51" i="4"/>
  <c r="I51" i="4" s="1"/>
  <c r="I50" i="4" s="1"/>
  <c r="F18" i="1" s="1"/>
  <c r="AO51" i="4"/>
  <c r="AW51" i="4" s="1"/>
  <c r="AK51" i="4"/>
  <c r="AT50" i="4" s="1"/>
  <c r="AJ51" i="4"/>
  <c r="AS50" i="4" s="1"/>
  <c r="AH51" i="4"/>
  <c r="AG51" i="4"/>
  <c r="AF51" i="4"/>
  <c r="AC51" i="4"/>
  <c r="AB51" i="4"/>
  <c r="Z51" i="4"/>
  <c r="J51" i="4"/>
  <c r="AL51" i="4" s="1"/>
  <c r="BJ48" i="4"/>
  <c r="BF48" i="4"/>
  <c r="BD48" i="4"/>
  <c r="AX48" i="4"/>
  <c r="AW48" i="4"/>
  <c r="AV48" i="4" s="1"/>
  <c r="AP48" i="4"/>
  <c r="BI48" i="4" s="1"/>
  <c r="AC48" i="4" s="1"/>
  <c r="AO48" i="4"/>
  <c r="H48" i="4" s="1"/>
  <c r="AK48" i="4"/>
  <c r="AJ48" i="4"/>
  <c r="AH48" i="4"/>
  <c r="AG48" i="4"/>
  <c r="AF48" i="4"/>
  <c r="AE48" i="4"/>
  <c r="AD48" i="4"/>
  <c r="Z48" i="4"/>
  <c r="J48" i="4"/>
  <c r="AL48" i="4" s="1"/>
  <c r="I48" i="4"/>
  <c r="BJ46" i="4"/>
  <c r="BF46" i="4"/>
  <c r="BD46" i="4"/>
  <c r="AX46" i="4"/>
  <c r="AP46" i="4"/>
  <c r="I46" i="4" s="1"/>
  <c r="AO46" i="4"/>
  <c r="AW46" i="4" s="1"/>
  <c r="AK46" i="4"/>
  <c r="AT45" i="4" s="1"/>
  <c r="AJ46" i="4"/>
  <c r="AS45" i="4" s="1"/>
  <c r="AH46" i="4"/>
  <c r="AG46" i="4"/>
  <c r="AF46" i="4"/>
  <c r="AE46" i="4"/>
  <c r="AD46" i="4"/>
  <c r="Z46" i="4"/>
  <c r="J46" i="4"/>
  <c r="AL46" i="4" s="1"/>
  <c r="BJ43" i="4"/>
  <c r="BF43" i="4"/>
  <c r="BD43" i="4"/>
  <c r="AP43" i="4"/>
  <c r="I43" i="4" s="1"/>
  <c r="AO43" i="4"/>
  <c r="AL43" i="4"/>
  <c r="AK43" i="4"/>
  <c r="AJ43" i="4"/>
  <c r="AH43" i="4"/>
  <c r="AG43" i="4"/>
  <c r="AF43" i="4"/>
  <c r="AE43" i="4"/>
  <c r="AD43" i="4"/>
  <c r="Z43" i="4"/>
  <c r="J43" i="4"/>
  <c r="BJ41" i="4"/>
  <c r="BF41" i="4"/>
  <c r="BD41" i="4"/>
  <c r="AP41" i="4"/>
  <c r="I41" i="4" s="1"/>
  <c r="AO41" i="4"/>
  <c r="AW41" i="4" s="1"/>
  <c r="AK41" i="4"/>
  <c r="AJ41" i="4"/>
  <c r="AH41" i="4"/>
  <c r="AG41" i="4"/>
  <c r="AF41" i="4"/>
  <c r="AE41" i="4"/>
  <c r="AD41" i="4"/>
  <c r="Z41" i="4"/>
  <c r="J41" i="4"/>
  <c r="AL41" i="4" s="1"/>
  <c r="BJ39" i="4"/>
  <c r="BF39" i="4"/>
  <c r="BD39" i="4"/>
  <c r="AP39" i="4"/>
  <c r="AX39" i="4" s="1"/>
  <c r="AO39" i="4"/>
  <c r="AK39" i="4"/>
  <c r="AJ39" i="4"/>
  <c r="AH39" i="4"/>
  <c r="AG39" i="4"/>
  <c r="AF39" i="4"/>
  <c r="AE39" i="4"/>
  <c r="AD39" i="4"/>
  <c r="Z39" i="4"/>
  <c r="J39" i="4"/>
  <c r="AL39" i="4" s="1"/>
  <c r="BJ36" i="4"/>
  <c r="BF36" i="4"/>
  <c r="BD36" i="4"/>
  <c r="AX36" i="4"/>
  <c r="AP36" i="4"/>
  <c r="I36" i="4" s="1"/>
  <c r="I35" i="4" s="1"/>
  <c r="AO36" i="4"/>
  <c r="AW36" i="4" s="1"/>
  <c r="AK36" i="4"/>
  <c r="AT35" i="4" s="1"/>
  <c r="AJ36" i="4"/>
  <c r="AS35" i="4" s="1"/>
  <c r="AH36" i="4"/>
  <c r="AG36" i="4"/>
  <c r="AF36" i="4"/>
  <c r="AE36" i="4"/>
  <c r="AD36" i="4"/>
  <c r="Z36" i="4"/>
  <c r="J36" i="4"/>
  <c r="AL36" i="4" s="1"/>
  <c r="AU35" i="4" s="1"/>
  <c r="BJ34" i="4"/>
  <c r="BF34" i="4"/>
  <c r="BD34" i="4"/>
  <c r="AP34" i="4"/>
  <c r="AO34" i="4"/>
  <c r="AL34" i="4"/>
  <c r="AK34" i="4"/>
  <c r="AJ34" i="4"/>
  <c r="AH34" i="4"/>
  <c r="AG34" i="4"/>
  <c r="AF34" i="4"/>
  <c r="AE34" i="4"/>
  <c r="AD34" i="4"/>
  <c r="Z34" i="4"/>
  <c r="J34" i="4"/>
  <c r="I34" i="4"/>
  <c r="BJ32" i="4"/>
  <c r="BF32" i="4"/>
  <c r="BD32" i="4"/>
  <c r="AP32" i="4"/>
  <c r="I32" i="4" s="1"/>
  <c r="AO32" i="4"/>
  <c r="AW32" i="4" s="1"/>
  <c r="AK32" i="4"/>
  <c r="AJ32" i="4"/>
  <c r="AH32" i="4"/>
  <c r="AG32" i="4"/>
  <c r="AF32" i="4"/>
  <c r="AE32" i="4"/>
  <c r="AD32" i="4"/>
  <c r="Z32" i="4"/>
  <c r="J32" i="4"/>
  <c r="AL32" i="4" s="1"/>
  <c r="BJ30" i="4"/>
  <c r="BF30" i="4"/>
  <c r="BD30" i="4"/>
  <c r="AP30" i="4"/>
  <c r="AX30" i="4" s="1"/>
  <c r="AO30" i="4"/>
  <c r="AK30" i="4"/>
  <c r="AJ30" i="4"/>
  <c r="AH30" i="4"/>
  <c r="AG30" i="4"/>
  <c r="AF30" i="4"/>
  <c r="AE30" i="4"/>
  <c r="AD30" i="4"/>
  <c r="Z30" i="4"/>
  <c r="J30" i="4"/>
  <c r="AL30" i="4" s="1"/>
  <c r="BJ27" i="4"/>
  <c r="BF27" i="4"/>
  <c r="BD27" i="4"/>
  <c r="AX27" i="4"/>
  <c r="AP27" i="4"/>
  <c r="I27" i="4" s="1"/>
  <c r="I26" i="4" s="1"/>
  <c r="AO27" i="4"/>
  <c r="AW27" i="4" s="1"/>
  <c r="AK27" i="4"/>
  <c r="AT26" i="4" s="1"/>
  <c r="AJ27" i="4"/>
  <c r="AS26" i="4" s="1"/>
  <c r="AH27" i="4"/>
  <c r="AG27" i="4"/>
  <c r="AF27" i="4"/>
  <c r="AE27" i="4"/>
  <c r="AD27" i="4"/>
  <c r="Z27" i="4"/>
  <c r="J27" i="4"/>
  <c r="AL27" i="4" s="1"/>
  <c r="AU26" i="4" s="1"/>
  <c r="BJ25" i="4"/>
  <c r="BF25" i="4"/>
  <c r="BD25" i="4"/>
  <c r="AP25" i="4"/>
  <c r="AO25" i="4"/>
  <c r="AL25" i="4"/>
  <c r="AK25" i="4"/>
  <c r="AJ25" i="4"/>
  <c r="AH25" i="4"/>
  <c r="AG25" i="4"/>
  <c r="AF25" i="4"/>
  <c r="AE25" i="4"/>
  <c r="AD25" i="4"/>
  <c r="Z25" i="4"/>
  <c r="J25" i="4"/>
  <c r="I25" i="4"/>
  <c r="BJ23" i="4"/>
  <c r="BF23" i="4"/>
  <c r="BD23" i="4"/>
  <c r="AP23" i="4"/>
  <c r="I23" i="4" s="1"/>
  <c r="AO23" i="4"/>
  <c r="AW23" i="4" s="1"/>
  <c r="AK23" i="4"/>
  <c r="AJ23" i="4"/>
  <c r="AH23" i="4"/>
  <c r="AG23" i="4"/>
  <c r="AF23" i="4"/>
  <c r="AE23" i="4"/>
  <c r="AD23" i="4"/>
  <c r="Z23" i="4"/>
  <c r="C21" i="2" s="1"/>
  <c r="J23" i="4"/>
  <c r="AL23" i="4" s="1"/>
  <c r="BJ22" i="4"/>
  <c r="BF22" i="4"/>
  <c r="BD22" i="4"/>
  <c r="AP22" i="4"/>
  <c r="AX22" i="4" s="1"/>
  <c r="AO22" i="4"/>
  <c r="AK22" i="4"/>
  <c r="AJ22" i="4"/>
  <c r="AH22" i="4"/>
  <c r="AG22" i="4"/>
  <c r="AF22" i="4"/>
  <c r="AE22" i="4"/>
  <c r="AD22" i="4"/>
  <c r="Z22" i="4"/>
  <c r="J22" i="4"/>
  <c r="AL22" i="4" s="1"/>
  <c r="BJ19" i="4"/>
  <c r="BF19" i="4"/>
  <c r="BD19" i="4"/>
  <c r="AX19" i="4"/>
  <c r="AP19" i="4"/>
  <c r="I19" i="4" s="1"/>
  <c r="AO19" i="4"/>
  <c r="AW19" i="4" s="1"/>
  <c r="AK19" i="4"/>
  <c r="AJ19" i="4"/>
  <c r="AH19" i="4"/>
  <c r="AG19" i="4"/>
  <c r="AF19" i="4"/>
  <c r="AE19" i="4"/>
  <c r="AD19" i="4"/>
  <c r="Z19" i="4"/>
  <c r="J19" i="4"/>
  <c r="AL19" i="4" s="1"/>
  <c r="BJ17" i="4"/>
  <c r="BF17" i="4"/>
  <c r="BD17" i="4"/>
  <c r="AP17" i="4"/>
  <c r="AX17" i="4" s="1"/>
  <c r="AO17" i="4"/>
  <c r="BH17" i="4" s="1"/>
  <c r="AB17" i="4" s="1"/>
  <c r="AK17" i="4"/>
  <c r="AJ17" i="4"/>
  <c r="AH17" i="4"/>
  <c r="AG17" i="4"/>
  <c r="AF17" i="4"/>
  <c r="AE17" i="4"/>
  <c r="AD17" i="4"/>
  <c r="Z17" i="4"/>
  <c r="J17" i="4"/>
  <c r="AL17" i="4" s="1"/>
  <c r="H17" i="4"/>
  <c r="BJ15" i="4"/>
  <c r="BF15" i="4"/>
  <c r="BD15" i="4"/>
  <c r="AW15" i="4"/>
  <c r="AP15" i="4"/>
  <c r="BI15" i="4" s="1"/>
  <c r="AC15" i="4" s="1"/>
  <c r="AO15" i="4"/>
  <c r="BH15" i="4" s="1"/>
  <c r="AB15" i="4" s="1"/>
  <c r="AK15" i="4"/>
  <c r="AJ15" i="4"/>
  <c r="AH15" i="4"/>
  <c r="AG15" i="4"/>
  <c r="AF15" i="4"/>
  <c r="AE15" i="4"/>
  <c r="AD15" i="4"/>
  <c r="Z15" i="4"/>
  <c r="J15" i="4"/>
  <c r="AL15" i="4" s="1"/>
  <c r="H15" i="4"/>
  <c r="BJ14" i="4"/>
  <c r="BF14" i="4"/>
  <c r="BD14" i="4"/>
  <c r="AP14" i="4"/>
  <c r="AO14" i="4"/>
  <c r="AK14" i="4"/>
  <c r="AJ14" i="4"/>
  <c r="AH14" i="4"/>
  <c r="AG14" i="4"/>
  <c r="AF14" i="4"/>
  <c r="AE14" i="4"/>
  <c r="AD14" i="4"/>
  <c r="Z14" i="4"/>
  <c r="J14" i="4"/>
  <c r="AL14" i="4" s="1"/>
  <c r="I14" i="4"/>
  <c r="BJ13" i="4"/>
  <c r="BF13" i="4"/>
  <c r="BD13" i="4"/>
  <c r="AP13" i="4"/>
  <c r="I13" i="4" s="1"/>
  <c r="AO13" i="4"/>
  <c r="AW13" i="4" s="1"/>
  <c r="AK13" i="4"/>
  <c r="AJ13" i="4"/>
  <c r="AH13" i="4"/>
  <c r="AG13" i="4"/>
  <c r="AF13" i="4"/>
  <c r="AE13" i="4"/>
  <c r="AD13" i="4"/>
  <c r="Z13" i="4"/>
  <c r="J13" i="4"/>
  <c r="AL13" i="4" s="1"/>
  <c r="AU1" i="4"/>
  <c r="AT1" i="4"/>
  <c r="AS1" i="4"/>
  <c r="F44" i="3"/>
  <c r="I44" i="3" s="1"/>
  <c r="F43" i="3"/>
  <c r="I43" i="3" s="1"/>
  <c r="F42" i="3"/>
  <c r="I42" i="3" s="1"/>
  <c r="F41" i="3"/>
  <c r="I41" i="3" s="1"/>
  <c r="F40" i="3"/>
  <c r="I40" i="3" s="1"/>
  <c r="F39" i="3"/>
  <c r="I39" i="3" s="1"/>
  <c r="F38" i="3"/>
  <c r="I38" i="3" s="1"/>
  <c r="F36" i="3"/>
  <c r="I36" i="3" s="1"/>
  <c r="F35" i="3"/>
  <c r="I35" i="3" s="1"/>
  <c r="I26" i="3"/>
  <c r="I25" i="3"/>
  <c r="I18" i="2" s="1"/>
  <c r="I24" i="3"/>
  <c r="I23" i="3"/>
  <c r="I16" i="2" s="1"/>
  <c r="I22" i="3"/>
  <c r="I15" i="2" s="1"/>
  <c r="I21" i="3"/>
  <c r="I17" i="3"/>
  <c r="F16" i="2" s="1"/>
  <c r="I16" i="3"/>
  <c r="I15" i="3"/>
  <c r="I10" i="3"/>
  <c r="F10" i="3"/>
  <c r="C10" i="3"/>
  <c r="F8" i="3"/>
  <c r="C8" i="3"/>
  <c r="F6" i="3"/>
  <c r="C6" i="3"/>
  <c r="F4" i="3"/>
  <c r="C4" i="3"/>
  <c r="F2" i="3"/>
  <c r="C2" i="3"/>
  <c r="I19" i="2"/>
  <c r="I17" i="2"/>
  <c r="F15" i="2"/>
  <c r="I14" i="2"/>
  <c r="F14" i="2"/>
  <c r="F10" i="2"/>
  <c r="C10" i="2"/>
  <c r="F8" i="2"/>
  <c r="C8" i="2"/>
  <c r="F6" i="2"/>
  <c r="C6" i="2"/>
  <c r="F4" i="2"/>
  <c r="C4" i="2"/>
  <c r="F2" i="2"/>
  <c r="C2" i="2"/>
  <c r="G27" i="1"/>
  <c r="I27" i="1" s="1"/>
  <c r="F27" i="1"/>
  <c r="F15" i="1"/>
  <c r="F13" i="1"/>
  <c r="C8" i="1"/>
  <c r="G6" i="1"/>
  <c r="C6" i="1"/>
  <c r="G4" i="1"/>
  <c r="C4" i="1"/>
  <c r="G2" i="1"/>
  <c r="C2" i="1"/>
  <c r="F22" i="2" l="1"/>
  <c r="AX60" i="4"/>
  <c r="I74" i="4"/>
  <c r="I122" i="4"/>
  <c r="I128" i="4"/>
  <c r="I214" i="4"/>
  <c r="AW57" i="4"/>
  <c r="I67" i="4"/>
  <c r="AW67" i="4"/>
  <c r="AW122" i="4"/>
  <c r="I139" i="4"/>
  <c r="AW139" i="4"/>
  <c r="BC139" i="4" s="1"/>
  <c r="H145" i="4"/>
  <c r="H160" i="4"/>
  <c r="AW160" i="4"/>
  <c r="I172" i="4"/>
  <c r="H178" i="4"/>
  <c r="H210" i="4"/>
  <c r="AW210" i="4"/>
  <c r="I227" i="4"/>
  <c r="AX227" i="4"/>
  <c r="H245" i="4"/>
  <c r="I255" i="4"/>
  <c r="H262" i="4"/>
  <c r="AX128" i="4"/>
  <c r="I166" i="4"/>
  <c r="AW178" i="4"/>
  <c r="H182" i="4"/>
  <c r="H233" i="4"/>
  <c r="AX13" i="4"/>
  <c r="BI77" i="4"/>
  <c r="AE77" i="4" s="1"/>
  <c r="AS85" i="4"/>
  <c r="AX157" i="4"/>
  <c r="I206" i="4"/>
  <c r="F37" i="3"/>
  <c r="I37" i="3" s="1"/>
  <c r="I45" i="3" s="1"/>
  <c r="I24" i="2" s="1"/>
  <c r="I118" i="4"/>
  <c r="H197" i="4"/>
  <c r="BH67" i="4"/>
  <c r="AD67" i="4" s="1"/>
  <c r="H91" i="4"/>
  <c r="H119" i="4"/>
  <c r="I216" i="4"/>
  <c r="AX216" i="4"/>
  <c r="H111" i="4"/>
  <c r="AW145" i="4"/>
  <c r="AT21" i="4"/>
  <c r="AT29" i="4"/>
  <c r="AT38" i="4"/>
  <c r="I75" i="4"/>
  <c r="AW140" i="4"/>
  <c r="AX151" i="4"/>
  <c r="J184" i="4"/>
  <c r="G30" i="1" s="1"/>
  <c r="I30" i="1" s="1"/>
  <c r="AW193" i="4"/>
  <c r="H223" i="4"/>
  <c r="H222" i="4" s="1"/>
  <c r="E35" i="1" s="1"/>
  <c r="I249" i="4"/>
  <c r="AS237" i="4"/>
  <c r="H244" i="4"/>
  <c r="H253" i="4"/>
  <c r="I57" i="4"/>
  <c r="I90" i="4"/>
  <c r="H139" i="4"/>
  <c r="AX166" i="4"/>
  <c r="I18" i="3"/>
  <c r="AX98" i="4"/>
  <c r="I137" i="4"/>
  <c r="H240" i="4"/>
  <c r="AS246" i="4"/>
  <c r="AX77" i="4"/>
  <c r="C28" i="2"/>
  <c r="F28" i="2" s="1"/>
  <c r="AX56" i="4"/>
  <c r="H62" i="4"/>
  <c r="AW62" i="4"/>
  <c r="BI65" i="4"/>
  <c r="AE65" i="4" s="1"/>
  <c r="AX163" i="4"/>
  <c r="AW185" i="4"/>
  <c r="AW212" i="4"/>
  <c r="H218" i="4"/>
  <c r="AW218" i="4"/>
  <c r="H225" i="4"/>
  <c r="I240" i="4"/>
  <c r="H247" i="4"/>
  <c r="H246" i="4" s="1"/>
  <c r="E38" i="1" s="1"/>
  <c r="AX57" i="4"/>
  <c r="AU21" i="4"/>
  <c r="AU29" i="4"/>
  <c r="AU38" i="4"/>
  <c r="AT126" i="4"/>
  <c r="BI214" i="4"/>
  <c r="AC214" i="4" s="1"/>
  <c r="I27" i="3"/>
  <c r="AX23" i="4"/>
  <c r="AX32" i="4"/>
  <c r="AX41" i="4"/>
  <c r="H70" i="4"/>
  <c r="H83" i="4"/>
  <c r="AW110" i="4"/>
  <c r="H114" i="4"/>
  <c r="BH137" i="4"/>
  <c r="AD137" i="4" s="1"/>
  <c r="AW149" i="4"/>
  <c r="AV149" i="4" s="1"/>
  <c r="H229" i="4"/>
  <c r="I264" i="4"/>
  <c r="BI225" i="4"/>
  <c r="AG225" i="4" s="1"/>
  <c r="I225" i="4"/>
  <c r="BH257" i="4"/>
  <c r="H257" i="4"/>
  <c r="C20" i="2"/>
  <c r="H14" i="4"/>
  <c r="AW14" i="4"/>
  <c r="H25" i="4"/>
  <c r="AW25" i="4"/>
  <c r="BC25" i="4" s="1"/>
  <c r="H34" i="4"/>
  <c r="AW34" i="4"/>
  <c r="H43" i="4"/>
  <c r="AW43" i="4"/>
  <c r="H61" i="4"/>
  <c r="AW61" i="4"/>
  <c r="AT69" i="4"/>
  <c r="BH79" i="4"/>
  <c r="AD79" i="4" s="1"/>
  <c r="AW79" i="4"/>
  <c r="BH87" i="4"/>
  <c r="AD87" i="4" s="1"/>
  <c r="H87" i="4"/>
  <c r="H97" i="4"/>
  <c r="BH97" i="4"/>
  <c r="AD97" i="4" s="1"/>
  <c r="AW97" i="4"/>
  <c r="BI102" i="4"/>
  <c r="AE102" i="4" s="1"/>
  <c r="AX102" i="4"/>
  <c r="BI113" i="4"/>
  <c r="AE113" i="4" s="1"/>
  <c r="AX113" i="4"/>
  <c r="BI124" i="4"/>
  <c r="AE124" i="4" s="1"/>
  <c r="AX124" i="4"/>
  <c r="I124" i="4"/>
  <c r="I123" i="4" s="1"/>
  <c r="F23" i="1" s="1"/>
  <c r="BH134" i="4"/>
  <c r="AD134" i="4" s="1"/>
  <c r="AW134" i="4"/>
  <c r="H134" i="4"/>
  <c r="BH151" i="4"/>
  <c r="AD151" i="4" s="1"/>
  <c r="AW151" i="4"/>
  <c r="I155" i="4"/>
  <c r="AX155" i="4"/>
  <c r="BH169" i="4"/>
  <c r="AD169" i="4" s="1"/>
  <c r="H169" i="4"/>
  <c r="I171" i="4"/>
  <c r="BI171" i="4"/>
  <c r="AE171" i="4" s="1"/>
  <c r="BH175" i="4"/>
  <c r="AD175" i="4" s="1"/>
  <c r="H175" i="4"/>
  <c r="BI180" i="4"/>
  <c r="AE180" i="4" s="1"/>
  <c r="AX180" i="4"/>
  <c r="I180" i="4"/>
  <c r="BH190" i="4"/>
  <c r="AB190" i="4" s="1"/>
  <c r="AW190" i="4"/>
  <c r="H190" i="4"/>
  <c r="BH228" i="4"/>
  <c r="AF228" i="4" s="1"/>
  <c r="AW228" i="4"/>
  <c r="AV228" i="4" s="1"/>
  <c r="BI260" i="4"/>
  <c r="I260" i="4"/>
  <c r="H78" i="4"/>
  <c r="BH78" i="4"/>
  <c r="AD78" i="4" s="1"/>
  <c r="AW78" i="4"/>
  <c r="I88" i="4"/>
  <c r="BI88" i="4"/>
  <c r="AE88" i="4" s="1"/>
  <c r="AX88" i="4"/>
  <c r="BH106" i="4"/>
  <c r="AD106" i="4" s="1"/>
  <c r="AW106" i="4"/>
  <c r="BI177" i="4"/>
  <c r="AE177" i="4" s="1"/>
  <c r="AX177" i="4"/>
  <c r="I177" i="4"/>
  <c r="BI14" i="4"/>
  <c r="AC14" i="4" s="1"/>
  <c r="AX14" i="4"/>
  <c r="BC14" i="4" s="1"/>
  <c r="BH30" i="4"/>
  <c r="AB30" i="4" s="1"/>
  <c r="H30" i="4"/>
  <c r="BI34" i="4"/>
  <c r="AC34" i="4" s="1"/>
  <c r="AX34" i="4"/>
  <c r="BC34" i="4" s="1"/>
  <c r="BH39" i="4"/>
  <c r="AB39" i="4" s="1"/>
  <c r="H39" i="4"/>
  <c r="BI43" i="4"/>
  <c r="AC43" i="4" s="1"/>
  <c r="AX43" i="4"/>
  <c r="BC43" i="4" s="1"/>
  <c r="AU45" i="4"/>
  <c r="H53" i="4"/>
  <c r="AW53" i="4"/>
  <c r="BH59" i="4"/>
  <c r="AD59" i="4" s="1"/>
  <c r="H59" i="4"/>
  <c r="BI61" i="4"/>
  <c r="AE61" i="4" s="1"/>
  <c r="AX61" i="4"/>
  <c r="H66" i="4"/>
  <c r="AW66" i="4"/>
  <c r="AS69" i="4"/>
  <c r="J85" i="4"/>
  <c r="G21" i="1" s="1"/>
  <c r="I21" i="1" s="1"/>
  <c r="BH94" i="4"/>
  <c r="AD94" i="4" s="1"/>
  <c r="AW94" i="4"/>
  <c r="BH98" i="4"/>
  <c r="AD98" i="4" s="1"/>
  <c r="AW98" i="4"/>
  <c r="BH108" i="4"/>
  <c r="AD108" i="4" s="1"/>
  <c r="H108" i="4"/>
  <c r="I113" i="4"/>
  <c r="BI117" i="4"/>
  <c r="AE117" i="4" s="1"/>
  <c r="AX117" i="4"/>
  <c r="I117" i="4"/>
  <c r="I147" i="4"/>
  <c r="AX147" i="4"/>
  <c r="BH163" i="4"/>
  <c r="AD163" i="4" s="1"/>
  <c r="AW163" i="4"/>
  <c r="H163" i="4"/>
  <c r="H162" i="4" s="1"/>
  <c r="E27" i="1" s="1"/>
  <c r="AL218" i="4"/>
  <c r="J211" i="4"/>
  <c r="G33" i="1" s="1"/>
  <c r="I33" i="1" s="1"/>
  <c r="BI221" i="4"/>
  <c r="I221" i="4"/>
  <c r="I220" i="4" s="1"/>
  <c r="F34" i="1" s="1"/>
  <c r="AX221" i="4"/>
  <c r="AS224" i="4"/>
  <c r="BI232" i="4"/>
  <c r="AG232" i="4" s="1"/>
  <c r="C19" i="2" s="1"/>
  <c r="AX232" i="4"/>
  <c r="BI235" i="4"/>
  <c r="AG235" i="4" s="1"/>
  <c r="AX235" i="4"/>
  <c r="I235" i="4"/>
  <c r="BH255" i="4"/>
  <c r="H255" i="4"/>
  <c r="C18" i="2"/>
  <c r="BH58" i="4"/>
  <c r="AD58" i="4" s="1"/>
  <c r="AW58" i="4"/>
  <c r="BH130" i="4"/>
  <c r="AD130" i="4" s="1"/>
  <c r="AW130" i="4"/>
  <c r="H157" i="4"/>
  <c r="AW157" i="4"/>
  <c r="AT12" i="4"/>
  <c r="AS12" i="4"/>
  <c r="C27" i="2"/>
  <c r="BH22" i="4"/>
  <c r="AB22" i="4" s="1"/>
  <c r="H22" i="4"/>
  <c r="BI25" i="4"/>
  <c r="AC25" i="4" s="1"/>
  <c r="AX25" i="4"/>
  <c r="I15" i="4"/>
  <c r="AX51" i="4"/>
  <c r="AV51" i="4" s="1"/>
  <c r="BI53" i="4"/>
  <c r="AE53" i="4" s="1"/>
  <c r="AX53" i="4"/>
  <c r="AU55" i="4"/>
  <c r="AT55" i="4"/>
  <c r="AV57" i="4"/>
  <c r="I62" i="4"/>
  <c r="I68" i="4"/>
  <c r="BI70" i="4"/>
  <c r="AE70" i="4" s="1"/>
  <c r="AX70" i="4"/>
  <c r="BH71" i="4"/>
  <c r="AD71" i="4" s="1"/>
  <c r="AW71" i="4"/>
  <c r="BH86" i="4"/>
  <c r="AD86" i="4" s="1"/>
  <c r="AW86" i="4"/>
  <c r="BI101" i="4"/>
  <c r="AE101" i="4" s="1"/>
  <c r="AX101" i="4"/>
  <c r="AV101" i="4" s="1"/>
  <c r="BI121" i="4"/>
  <c r="AE121" i="4" s="1"/>
  <c r="AX121" i="4"/>
  <c r="I121" i="4"/>
  <c r="J133" i="4"/>
  <c r="G25" i="1" s="1"/>
  <c r="I25" i="1" s="1"/>
  <c r="AL139" i="4"/>
  <c r="AU133" i="4" s="1"/>
  <c r="BI143" i="4"/>
  <c r="AE143" i="4" s="1"/>
  <c r="AX143" i="4"/>
  <c r="BI159" i="4"/>
  <c r="AE159" i="4" s="1"/>
  <c r="AX159" i="4"/>
  <c r="AV159" i="4" s="1"/>
  <c r="BH168" i="4"/>
  <c r="AD168" i="4" s="1"/>
  <c r="AW168" i="4"/>
  <c r="H172" i="4"/>
  <c r="BH172" i="4"/>
  <c r="AD172" i="4" s="1"/>
  <c r="AW172" i="4"/>
  <c r="BH174" i="4"/>
  <c r="AD174" i="4" s="1"/>
  <c r="AW174" i="4"/>
  <c r="AW214" i="4"/>
  <c r="BC214" i="4" s="1"/>
  <c r="H214" i="4"/>
  <c r="AL231" i="4"/>
  <c r="J224" i="4"/>
  <c r="G36" i="1" s="1"/>
  <c r="I36" i="1" s="1"/>
  <c r="BH241" i="4"/>
  <c r="H241" i="4"/>
  <c r="BI258" i="4"/>
  <c r="I258" i="4"/>
  <c r="AX258" i="4"/>
  <c r="AV68" i="4"/>
  <c r="J69" i="4"/>
  <c r="G20" i="1" s="1"/>
  <c r="I20" i="1" s="1"/>
  <c r="AS126" i="4"/>
  <c r="BI131" i="4"/>
  <c r="AE131" i="4" s="1"/>
  <c r="AX137" i="4"/>
  <c r="AV137" i="4" s="1"/>
  <c r="AT142" i="4"/>
  <c r="AS142" i="4"/>
  <c r="AW153" i="4"/>
  <c r="J165" i="4"/>
  <c r="G28" i="1" s="1"/>
  <c r="I28" i="1" s="1"/>
  <c r="I185" i="4"/>
  <c r="I184" i="4" s="1"/>
  <c r="F30" i="1" s="1"/>
  <c r="AW189" i="4"/>
  <c r="AS186" i="4"/>
  <c r="I193" i="4"/>
  <c r="AW200" i="4"/>
  <c r="AS199" i="4"/>
  <c r="AX206" i="4"/>
  <c r="BC206" i="4" s="1"/>
  <c r="AX212" i="4"/>
  <c r="AV212" i="4" s="1"/>
  <c r="AX218" i="4"/>
  <c r="BC218" i="4" s="1"/>
  <c r="AW225" i="4"/>
  <c r="H226" i="4"/>
  <c r="AV232" i="4"/>
  <c r="I238" i="4"/>
  <c r="I45" i="4"/>
  <c r="F17" i="1" s="1"/>
  <c r="AU50" i="4"/>
  <c r="AX67" i="4"/>
  <c r="AV67" i="4" s="1"/>
  <c r="BC68" i="4"/>
  <c r="AL70" i="4"/>
  <c r="AU69" i="4" s="1"/>
  <c r="AW70" i="4"/>
  <c r="H72" i="4"/>
  <c r="AX74" i="4"/>
  <c r="H80" i="4"/>
  <c r="AX82" i="4"/>
  <c r="AX100" i="4"/>
  <c r="BI100" i="4"/>
  <c r="AE100" i="4" s="1"/>
  <c r="AW102" i="4"/>
  <c r="AS109" i="4"/>
  <c r="AU126" i="4"/>
  <c r="BI130" i="4"/>
  <c r="AE130" i="4" s="1"/>
  <c r="AX135" i="4"/>
  <c r="BI135" i="4"/>
  <c r="AE135" i="4" s="1"/>
  <c r="AX139" i="4"/>
  <c r="H140" i="4"/>
  <c r="AW143" i="4"/>
  <c r="AS165" i="4"/>
  <c r="AT199" i="4"/>
  <c r="AT224" i="4"/>
  <c r="AX255" i="4"/>
  <c r="AS21" i="4"/>
  <c r="AS29" i="4"/>
  <c r="AS38" i="4"/>
  <c r="AS55" i="4"/>
  <c r="AX78" i="4"/>
  <c r="AX94" i="4"/>
  <c r="BI96" i="4"/>
  <c r="AE96" i="4" s="1"/>
  <c r="AX97" i="4"/>
  <c r="BC97" i="4" s="1"/>
  <c r="AT165" i="4"/>
  <c r="AX172" i="4"/>
  <c r="AV172" i="4" s="1"/>
  <c r="AW181" i="4"/>
  <c r="I187" i="4"/>
  <c r="AX187" i="4"/>
  <c r="AT186" i="4"/>
  <c r="AX204" i="4"/>
  <c r="AT211" i="4"/>
  <c r="I218" i="4"/>
  <c r="I211" i="4" s="1"/>
  <c r="F33" i="1" s="1"/>
  <c r="I231" i="4"/>
  <c r="AX231" i="4"/>
  <c r="I233" i="4"/>
  <c r="AW233" i="4"/>
  <c r="AX238" i="4"/>
  <c r="AX251" i="4"/>
  <c r="AW266" i="4"/>
  <c r="AV266" i="4" s="1"/>
  <c r="AV46" i="4"/>
  <c r="BC46" i="4"/>
  <c r="AU12" i="4"/>
  <c r="AV19" i="4"/>
  <c r="BC19" i="4"/>
  <c r="AV27" i="4"/>
  <c r="BC27" i="4"/>
  <c r="AV36" i="4"/>
  <c r="BC36" i="4"/>
  <c r="AV56" i="4"/>
  <c r="BC56" i="4"/>
  <c r="AV64" i="4"/>
  <c r="BC64" i="4"/>
  <c r="I22" i="2"/>
  <c r="AV13" i="4"/>
  <c r="BC13" i="4"/>
  <c r="AV23" i="4"/>
  <c r="BC23" i="4"/>
  <c r="AV32" i="4"/>
  <c r="BC32" i="4"/>
  <c r="AV41" i="4"/>
  <c r="BC41" i="4"/>
  <c r="BC51" i="4"/>
  <c r="AV60" i="4"/>
  <c r="BC60" i="4"/>
  <c r="BH13" i="4"/>
  <c r="AB13" i="4" s="1"/>
  <c r="BI17" i="4"/>
  <c r="AC17" i="4" s="1"/>
  <c r="BH19" i="4"/>
  <c r="AB19" i="4" s="1"/>
  <c r="BI22" i="4"/>
  <c r="AC22" i="4" s="1"/>
  <c r="BH23" i="4"/>
  <c r="AB23" i="4" s="1"/>
  <c r="BH27" i="4"/>
  <c r="AB27" i="4" s="1"/>
  <c r="BI30" i="4"/>
  <c r="AC30" i="4" s="1"/>
  <c r="BH32" i="4"/>
  <c r="AB32" i="4" s="1"/>
  <c r="BH36" i="4"/>
  <c r="AB36" i="4" s="1"/>
  <c r="BI39" i="4"/>
  <c r="AC39" i="4" s="1"/>
  <c r="BH41" i="4"/>
  <c r="AB41" i="4" s="1"/>
  <c r="BH46" i="4"/>
  <c r="AB46" i="4" s="1"/>
  <c r="BH51" i="4"/>
  <c r="AD51" i="4" s="1"/>
  <c r="BH56" i="4"/>
  <c r="AD56" i="4" s="1"/>
  <c r="BI59" i="4"/>
  <c r="AE59" i="4" s="1"/>
  <c r="BH60" i="4"/>
  <c r="AD60" i="4" s="1"/>
  <c r="BI63" i="4"/>
  <c r="AE63" i="4" s="1"/>
  <c r="BH64" i="4"/>
  <c r="AD64" i="4" s="1"/>
  <c r="BC65" i="4"/>
  <c r="AW73" i="4"/>
  <c r="H73" i="4"/>
  <c r="AX76" i="4"/>
  <c r="I76" i="4"/>
  <c r="AW81" i="4"/>
  <c r="H81" i="4"/>
  <c r="AX84" i="4"/>
  <c r="I84" i="4"/>
  <c r="AX87" i="4"/>
  <c r="I87" i="4"/>
  <c r="AW92" i="4"/>
  <c r="H92" i="4"/>
  <c r="AX103" i="4"/>
  <c r="I103" i="4"/>
  <c r="AL113" i="4"/>
  <c r="AU109" i="4" s="1"/>
  <c r="J109" i="4"/>
  <c r="G22" i="1" s="1"/>
  <c r="I22" i="1" s="1"/>
  <c r="AV118" i="4"/>
  <c r="AW121" i="4"/>
  <c r="H121" i="4"/>
  <c r="AL147" i="4"/>
  <c r="AU142" i="4" s="1"/>
  <c r="J142" i="4"/>
  <c r="G26" i="1" s="1"/>
  <c r="I26" i="1" s="1"/>
  <c r="BI13" i="4"/>
  <c r="AC13" i="4" s="1"/>
  <c r="BH14" i="4"/>
  <c r="AB14" i="4" s="1"/>
  <c r="BI19" i="4"/>
  <c r="AC19" i="4" s="1"/>
  <c r="J21" i="4"/>
  <c r="G12" i="1" s="1"/>
  <c r="I12" i="1" s="1"/>
  <c r="BI23" i="4"/>
  <c r="AC23" i="4" s="1"/>
  <c r="BH25" i="4"/>
  <c r="AB25" i="4" s="1"/>
  <c r="BI27" i="4"/>
  <c r="AC27" i="4" s="1"/>
  <c r="J29" i="4"/>
  <c r="G14" i="1" s="1"/>
  <c r="I14" i="1" s="1"/>
  <c r="BI32" i="4"/>
  <c r="AC32" i="4" s="1"/>
  <c r="BH34" i="4"/>
  <c r="AB34" i="4" s="1"/>
  <c r="BI36" i="4"/>
  <c r="AC36" i="4" s="1"/>
  <c r="J38" i="4"/>
  <c r="G16" i="1" s="1"/>
  <c r="I16" i="1" s="1"/>
  <c r="BI41" i="4"/>
  <c r="AC41" i="4" s="1"/>
  <c r="BH43" i="4"/>
  <c r="AB43" i="4" s="1"/>
  <c r="BI46" i="4"/>
  <c r="AC46" i="4" s="1"/>
  <c r="BH48" i="4"/>
  <c r="AB48" i="4" s="1"/>
  <c r="BI51" i="4"/>
  <c r="AE51" i="4" s="1"/>
  <c r="BH53" i="4"/>
  <c r="AD53" i="4" s="1"/>
  <c r="BI56" i="4"/>
  <c r="AE56" i="4" s="1"/>
  <c r="BH57" i="4"/>
  <c r="AD57" i="4" s="1"/>
  <c r="BI60" i="4"/>
  <c r="AE60" i="4" s="1"/>
  <c r="BH61" i="4"/>
  <c r="AD61" i="4" s="1"/>
  <c r="BI64" i="4"/>
  <c r="AE64" i="4" s="1"/>
  <c r="BI76" i="4"/>
  <c r="AE76" i="4" s="1"/>
  <c r="BI84" i="4"/>
  <c r="AE84" i="4" s="1"/>
  <c r="BI87" i="4"/>
  <c r="AE87" i="4" s="1"/>
  <c r="AV89" i="4"/>
  <c r="BC89" i="4"/>
  <c r="AW96" i="4"/>
  <c r="H96" i="4"/>
  <c r="AX104" i="4"/>
  <c r="AX112" i="4"/>
  <c r="I112" i="4"/>
  <c r="BI112" i="4"/>
  <c r="AE112" i="4" s="1"/>
  <c r="BH121" i="4"/>
  <c r="AD121" i="4" s="1"/>
  <c r="AL124" i="4"/>
  <c r="AU123" i="4" s="1"/>
  <c r="J123" i="4"/>
  <c r="G23" i="1" s="1"/>
  <c r="I23" i="1" s="1"/>
  <c r="AV157" i="4"/>
  <c r="BC157" i="4"/>
  <c r="AW187" i="4"/>
  <c r="H187" i="4"/>
  <c r="BH187" i="4"/>
  <c r="AB187" i="4" s="1"/>
  <c r="J12" i="4"/>
  <c r="H13" i="4"/>
  <c r="H12" i="4" s="1"/>
  <c r="E11" i="1" s="1"/>
  <c r="AX15" i="4"/>
  <c r="AV15" i="4" s="1"/>
  <c r="I17" i="4"/>
  <c r="AW17" i="4"/>
  <c r="H19" i="4"/>
  <c r="I22" i="4"/>
  <c r="I21" i="4" s="1"/>
  <c r="F12" i="1" s="1"/>
  <c r="AW22" i="4"/>
  <c r="H23" i="4"/>
  <c r="J26" i="4"/>
  <c r="G13" i="1" s="1"/>
  <c r="I13" i="1" s="1"/>
  <c r="H27" i="4"/>
  <c r="H26" i="4" s="1"/>
  <c r="E13" i="1" s="1"/>
  <c r="I30" i="4"/>
  <c r="I29" i="4" s="1"/>
  <c r="F14" i="1" s="1"/>
  <c r="AW30" i="4"/>
  <c r="H32" i="4"/>
  <c r="J35" i="4"/>
  <c r="G15" i="1" s="1"/>
  <c r="I15" i="1" s="1"/>
  <c r="H36" i="4"/>
  <c r="H35" i="4" s="1"/>
  <c r="E15" i="1" s="1"/>
  <c r="I39" i="4"/>
  <c r="I38" i="4" s="1"/>
  <c r="F16" i="1" s="1"/>
  <c r="AW39" i="4"/>
  <c r="H41" i="4"/>
  <c r="H38" i="4" s="1"/>
  <c r="E16" i="1" s="1"/>
  <c r="J45" i="4"/>
  <c r="G17" i="1" s="1"/>
  <c r="I17" i="1" s="1"/>
  <c r="H46" i="4"/>
  <c r="H45" i="4" s="1"/>
  <c r="E17" i="1" s="1"/>
  <c r="BC48" i="4"/>
  <c r="J50" i="4"/>
  <c r="G18" i="1" s="1"/>
  <c r="I18" i="1" s="1"/>
  <c r="H51" i="4"/>
  <c r="BC53" i="4"/>
  <c r="J55" i="4"/>
  <c r="G19" i="1" s="1"/>
  <c r="I19" i="1" s="1"/>
  <c r="H56" i="4"/>
  <c r="BC57" i="4"/>
  <c r="AX58" i="4"/>
  <c r="I59" i="4"/>
  <c r="AW59" i="4"/>
  <c r="H60" i="4"/>
  <c r="BC61" i="4"/>
  <c r="AX62" i="4"/>
  <c r="AV62" i="4" s="1"/>
  <c r="I63" i="4"/>
  <c r="AW63" i="4"/>
  <c r="H64" i="4"/>
  <c r="I66" i="4"/>
  <c r="AX66" i="4"/>
  <c r="AV66" i="4" s="1"/>
  <c r="BH66" i="4"/>
  <c r="AD66" i="4" s="1"/>
  <c r="AX72" i="4"/>
  <c r="I72" i="4"/>
  <c r="AX73" i="4"/>
  <c r="BH73" i="4"/>
  <c r="AD73" i="4" s="1"/>
  <c r="AW77" i="4"/>
  <c r="H77" i="4"/>
  <c r="AX80" i="4"/>
  <c r="I80" i="4"/>
  <c r="AX81" i="4"/>
  <c r="BH81" i="4"/>
  <c r="AD81" i="4" s="1"/>
  <c r="AW88" i="4"/>
  <c r="H88" i="4"/>
  <c r="AL89" i="4"/>
  <c r="AX91" i="4"/>
  <c r="I91" i="4"/>
  <c r="AX92" i="4"/>
  <c r="BH92" i="4"/>
  <c r="AD92" i="4" s="1"/>
  <c r="AX95" i="4"/>
  <c r="I95" i="4"/>
  <c r="AW100" i="4"/>
  <c r="H100" i="4"/>
  <c r="BI103" i="4"/>
  <c r="AE103" i="4" s="1"/>
  <c r="BI104" i="4"/>
  <c r="AE104" i="4" s="1"/>
  <c r="AW105" i="4"/>
  <c r="BH105" i="4"/>
  <c r="AD105" i="4" s="1"/>
  <c r="AT109" i="4"/>
  <c r="AW113" i="4"/>
  <c r="H113" i="4"/>
  <c r="AX116" i="4"/>
  <c r="I116" i="4"/>
  <c r="BI116" i="4"/>
  <c r="AE116" i="4" s="1"/>
  <c r="AW155" i="4"/>
  <c r="H155" i="4"/>
  <c r="BH155" i="4"/>
  <c r="AD155" i="4" s="1"/>
  <c r="H65" i="4"/>
  <c r="BH65" i="4"/>
  <c r="AD65" i="4" s="1"/>
  <c r="BI68" i="4"/>
  <c r="AE68" i="4" s="1"/>
  <c r="BI73" i="4"/>
  <c r="AE73" i="4" s="1"/>
  <c r="AW74" i="4"/>
  <c r="BH74" i="4"/>
  <c r="AD74" i="4" s="1"/>
  <c r="BI81" i="4"/>
  <c r="AE81" i="4" s="1"/>
  <c r="AW82" i="4"/>
  <c r="BH82" i="4"/>
  <c r="AD82" i="4" s="1"/>
  <c r="AT85" i="4"/>
  <c r="BI92" i="4"/>
  <c r="AE92" i="4" s="1"/>
  <c r="AW93" i="4"/>
  <c r="BH93" i="4"/>
  <c r="AD93" i="4" s="1"/>
  <c r="AV94" i="4"/>
  <c r="BH96" i="4"/>
  <c r="AD96" i="4" s="1"/>
  <c r="AX99" i="4"/>
  <c r="I99" i="4"/>
  <c r="AW104" i="4"/>
  <c r="H104" i="4"/>
  <c r="AW117" i="4"/>
  <c r="H117" i="4"/>
  <c r="AX120" i="4"/>
  <c r="I120" i="4"/>
  <c r="BI120" i="4"/>
  <c r="AE120" i="4" s="1"/>
  <c r="AW124" i="4"/>
  <c r="H124" i="4"/>
  <c r="H123" i="4" s="1"/>
  <c r="E23" i="1" s="1"/>
  <c r="BI127" i="4"/>
  <c r="AE127" i="4" s="1"/>
  <c r="AX127" i="4"/>
  <c r="I127" i="4"/>
  <c r="I126" i="4" s="1"/>
  <c r="F24" i="1" s="1"/>
  <c r="AX71" i="4"/>
  <c r="AW72" i="4"/>
  <c r="AX75" i="4"/>
  <c r="BC75" i="4" s="1"/>
  <c r="AW76" i="4"/>
  <c r="AX79" i="4"/>
  <c r="AW80" i="4"/>
  <c r="AX83" i="4"/>
  <c r="AV83" i="4" s="1"/>
  <c r="AW84" i="4"/>
  <c r="AX86" i="4"/>
  <c r="AV86" i="4" s="1"/>
  <c r="AW87" i="4"/>
  <c r="AX90" i="4"/>
  <c r="AV90" i="4" s="1"/>
  <c r="AW91" i="4"/>
  <c r="AX106" i="4"/>
  <c r="AV106" i="4" s="1"/>
  <c r="I108" i="4"/>
  <c r="AW108" i="4"/>
  <c r="AX110" i="4"/>
  <c r="AV110" i="4" s="1"/>
  <c r="I111" i="4"/>
  <c r="AW111" i="4"/>
  <c r="H112" i="4"/>
  <c r="AX114" i="4"/>
  <c r="AV114" i="4" s="1"/>
  <c r="I115" i="4"/>
  <c r="AW115" i="4"/>
  <c r="H116" i="4"/>
  <c r="AX118" i="4"/>
  <c r="BC118" i="4" s="1"/>
  <c r="I119" i="4"/>
  <c r="AW119" i="4"/>
  <c r="H120" i="4"/>
  <c r="AX122" i="4"/>
  <c r="AV122" i="4" s="1"/>
  <c r="J126" i="4"/>
  <c r="G24" i="1" s="1"/>
  <c r="I24" i="1" s="1"/>
  <c r="H127" i="4"/>
  <c r="AW127" i="4"/>
  <c r="H128" i="4"/>
  <c r="AW128" i="4"/>
  <c r="AV131" i="4"/>
  <c r="AW135" i="4"/>
  <c r="H135" i="4"/>
  <c r="AX145" i="4"/>
  <c r="I145" i="4"/>
  <c r="AX160" i="4"/>
  <c r="I160" i="4"/>
  <c r="BC172" i="4"/>
  <c r="AX108" i="4"/>
  <c r="AX111" i="4"/>
  <c r="AW112" i="4"/>
  <c r="AX115" i="4"/>
  <c r="AW116" i="4"/>
  <c r="AX119" i="4"/>
  <c r="AW120" i="4"/>
  <c r="AS133" i="4"/>
  <c r="AX134" i="4"/>
  <c r="I134" i="4"/>
  <c r="AW147" i="4"/>
  <c r="H147" i="4"/>
  <c r="H166" i="4"/>
  <c r="BH166" i="4"/>
  <c r="AD166" i="4" s="1"/>
  <c r="AW166" i="4"/>
  <c r="AT133" i="4"/>
  <c r="AX140" i="4"/>
  <c r="I140" i="4"/>
  <c r="AX153" i="4"/>
  <c r="I153" i="4"/>
  <c r="AL180" i="4"/>
  <c r="AU179" i="4" s="1"/>
  <c r="J179" i="4"/>
  <c r="G29" i="1" s="1"/>
  <c r="I29" i="1" s="1"/>
  <c r="AL204" i="4"/>
  <c r="AU199" i="4" s="1"/>
  <c r="J199" i="4"/>
  <c r="G32" i="1" s="1"/>
  <c r="I32" i="1" s="1"/>
  <c r="BI147" i="4"/>
  <c r="AE147" i="4" s="1"/>
  <c r="BH149" i="4"/>
  <c r="AD149" i="4" s="1"/>
  <c r="BI155" i="4"/>
  <c r="AE155" i="4" s="1"/>
  <c r="BH157" i="4"/>
  <c r="AD157" i="4" s="1"/>
  <c r="AW171" i="4"/>
  <c r="H171" i="4"/>
  <c r="AX175" i="4"/>
  <c r="I175" i="4"/>
  <c r="AX197" i="4"/>
  <c r="I197" i="4"/>
  <c r="BI197" i="4"/>
  <c r="AC197" i="4" s="1"/>
  <c r="AW204" i="4"/>
  <c r="H204" i="4"/>
  <c r="H199" i="4" s="1"/>
  <c r="E32" i="1" s="1"/>
  <c r="BI175" i="4"/>
  <c r="AE175" i="4" s="1"/>
  <c r="AW180" i="4"/>
  <c r="H180" i="4"/>
  <c r="H179" i="4" s="1"/>
  <c r="E29" i="1" s="1"/>
  <c r="AX191" i="4"/>
  <c r="I191" i="4"/>
  <c r="BI191" i="4"/>
  <c r="AC191" i="4" s="1"/>
  <c r="AW192" i="4"/>
  <c r="H192" i="4"/>
  <c r="AX202" i="4"/>
  <c r="I202" i="4"/>
  <c r="BI202" i="4"/>
  <c r="AC202" i="4" s="1"/>
  <c r="BH204" i="4"/>
  <c r="AB204" i="4" s="1"/>
  <c r="AX210" i="4"/>
  <c r="I210" i="4"/>
  <c r="AL166" i="4"/>
  <c r="AU165" i="4" s="1"/>
  <c r="AX169" i="4"/>
  <c r="I169" i="4"/>
  <c r="AX171" i="4"/>
  <c r="BH171" i="4"/>
  <c r="AD171" i="4" s="1"/>
  <c r="AW177" i="4"/>
  <c r="H177" i="4"/>
  <c r="BH180" i="4"/>
  <c r="AD180" i="4" s="1"/>
  <c r="AL187" i="4"/>
  <c r="AU186" i="4" s="1"/>
  <c r="J186" i="4"/>
  <c r="G31" i="1" s="1"/>
  <c r="I31" i="1" s="1"/>
  <c r="BH192" i="4"/>
  <c r="AB192" i="4" s="1"/>
  <c r="BI210" i="4"/>
  <c r="AC210" i="4" s="1"/>
  <c r="AU211" i="4"/>
  <c r="AX178" i="4"/>
  <c r="AV178" i="4" s="1"/>
  <c r="AX181" i="4"/>
  <c r="AV181" i="4" s="1"/>
  <c r="I182" i="4"/>
  <c r="AW182" i="4"/>
  <c r="AX185" i="4"/>
  <c r="BC185" i="4" s="1"/>
  <c r="AX189" i="4"/>
  <c r="BC189" i="4" s="1"/>
  <c r="I190" i="4"/>
  <c r="I186" i="4" s="1"/>
  <c r="F31" i="1" s="1"/>
  <c r="H191" i="4"/>
  <c r="AX193" i="4"/>
  <c r="BC193" i="4" s="1"/>
  <c r="AW195" i="4"/>
  <c r="BI204" i="4"/>
  <c r="AC204" i="4" s="1"/>
  <c r="BH206" i="4"/>
  <c r="AB206" i="4" s="1"/>
  <c r="AX168" i="4"/>
  <c r="AV168" i="4" s="1"/>
  <c r="AW169" i="4"/>
  <c r="AX174" i="4"/>
  <c r="AW175" i="4"/>
  <c r="AX182" i="4"/>
  <c r="AX190" i="4"/>
  <c r="AW191" i="4"/>
  <c r="AX195" i="4"/>
  <c r="AW197" i="4"/>
  <c r="AX200" i="4"/>
  <c r="AV200" i="4" s="1"/>
  <c r="AW202" i="4"/>
  <c r="AX208" i="4"/>
  <c r="AV208" i="4" s="1"/>
  <c r="AU224" i="4"/>
  <c r="AU237" i="4"/>
  <c r="BH214" i="4"/>
  <c r="AB214" i="4" s="1"/>
  <c r="AU246" i="4"/>
  <c r="BC266" i="4"/>
  <c r="J222" i="4"/>
  <c r="G35" i="1" s="1"/>
  <c r="I35" i="1" s="1"/>
  <c r="H234" i="4"/>
  <c r="AX236" i="4"/>
  <c r="AV236" i="4" s="1"/>
  <c r="AX240" i="4"/>
  <c r="AV240" i="4" s="1"/>
  <c r="AW241" i="4"/>
  <c r="AX244" i="4"/>
  <c r="AV244" i="4" s="1"/>
  <c r="AW245" i="4"/>
  <c r="AW249" i="4"/>
  <c r="AW253" i="4"/>
  <c r="AW257" i="4"/>
  <c r="AW260" i="4"/>
  <c r="AW264" i="4"/>
  <c r="BI266" i="4"/>
  <c r="H216" i="4"/>
  <c r="J220" i="4"/>
  <c r="G34" i="1" s="1"/>
  <c r="I34" i="1" s="1"/>
  <c r="H221" i="4"/>
  <c r="H220" i="4" s="1"/>
  <c r="E34" i="1" s="1"/>
  <c r="I223" i="4"/>
  <c r="I222" i="4" s="1"/>
  <c r="F35" i="1" s="1"/>
  <c r="AW223" i="4"/>
  <c r="AX225" i="4"/>
  <c r="I226" i="4"/>
  <c r="AW226" i="4"/>
  <c r="H227" i="4"/>
  <c r="BC228" i="4"/>
  <c r="AX229" i="4"/>
  <c r="I230" i="4"/>
  <c r="AW230" i="4"/>
  <c r="H231" i="4"/>
  <c r="BC232" i="4"/>
  <c r="AX233" i="4"/>
  <c r="I234" i="4"/>
  <c r="AW234" i="4"/>
  <c r="H235" i="4"/>
  <c r="J237" i="4"/>
  <c r="G37" i="1" s="1"/>
  <c r="I37" i="1" s="1"/>
  <c r="H238" i="4"/>
  <c r="AX241" i="4"/>
  <c r="I242" i="4"/>
  <c r="I237" i="4" s="1"/>
  <c r="F37" i="1" s="1"/>
  <c r="AW242" i="4"/>
  <c r="H243" i="4"/>
  <c r="BC244" i="4"/>
  <c r="AX245" i="4"/>
  <c r="J246" i="4"/>
  <c r="AX249" i="4"/>
  <c r="AX253" i="4"/>
  <c r="AX257" i="4"/>
  <c r="AX260" i="4"/>
  <c r="AX264" i="4"/>
  <c r="AW216" i="4"/>
  <c r="AW221" i="4"/>
  <c r="AX223" i="4"/>
  <c r="AX226" i="4"/>
  <c r="AW227" i="4"/>
  <c r="AX230" i="4"/>
  <c r="AW231" i="4"/>
  <c r="AX234" i="4"/>
  <c r="AW235" i="4"/>
  <c r="AW238" i="4"/>
  <c r="AX242" i="4"/>
  <c r="AW243" i="4"/>
  <c r="AW247" i="4"/>
  <c r="AW251" i="4"/>
  <c r="AW255" i="4"/>
  <c r="AW258" i="4"/>
  <c r="AW262" i="4"/>
  <c r="AV206" i="4" l="1"/>
  <c r="H21" i="4"/>
  <c r="E12" i="1" s="1"/>
  <c r="H133" i="4"/>
  <c r="E25" i="1" s="1"/>
  <c r="I69" i="4"/>
  <c r="F20" i="1" s="1"/>
  <c r="BC137" i="4"/>
  <c r="I199" i="4"/>
  <c r="F32" i="1" s="1"/>
  <c r="BC149" i="4"/>
  <c r="BC66" i="4"/>
  <c r="AV58" i="4"/>
  <c r="AV193" i="4"/>
  <c r="H109" i="4"/>
  <c r="E22" i="1" s="1"/>
  <c r="I246" i="4"/>
  <c r="F38" i="1" s="1"/>
  <c r="AV185" i="4"/>
  <c r="BC159" i="4"/>
  <c r="AV218" i="4"/>
  <c r="AV214" i="4"/>
  <c r="I142" i="4"/>
  <c r="F26" i="1" s="1"/>
  <c r="AV78" i="4"/>
  <c r="H211" i="4"/>
  <c r="E33" i="1" s="1"/>
  <c r="BC168" i="4"/>
  <c r="H50" i="4"/>
  <c r="E18" i="1" s="1"/>
  <c r="AV139" i="4"/>
  <c r="AV97" i="4"/>
  <c r="F29" i="3"/>
  <c r="I179" i="4"/>
  <c r="F29" i="1" s="1"/>
  <c r="AV130" i="4"/>
  <c r="BC130" i="4"/>
  <c r="BC114" i="4"/>
  <c r="C29" i="2"/>
  <c r="F29" i="2" s="1"/>
  <c r="I12" i="4"/>
  <c r="F11" i="1" s="1"/>
  <c r="BC101" i="4"/>
  <c r="BC78" i="4"/>
  <c r="BC83" i="4"/>
  <c r="BC143" i="4"/>
  <c r="AV143" i="4"/>
  <c r="BC102" i="4"/>
  <c r="AV102" i="4"/>
  <c r="BC98" i="4"/>
  <c r="AV98" i="4"/>
  <c r="AV53" i="4"/>
  <c r="AV43" i="4"/>
  <c r="AV25" i="4"/>
  <c r="BC90" i="4"/>
  <c r="I85" i="4"/>
  <c r="F21" i="1" s="1"/>
  <c r="H224" i="4"/>
  <c r="E36" i="1" s="1"/>
  <c r="BC236" i="4"/>
  <c r="I165" i="4"/>
  <c r="F28" i="1" s="1"/>
  <c r="I133" i="4"/>
  <c r="F25" i="1" s="1"/>
  <c r="I109" i="4"/>
  <c r="F22" i="1" s="1"/>
  <c r="AV79" i="4"/>
  <c r="AV71" i="4"/>
  <c r="H85" i="4"/>
  <c r="E21" i="1" s="1"/>
  <c r="H29" i="4"/>
  <c r="E14" i="1" s="1"/>
  <c r="BC67" i="4"/>
  <c r="I55" i="4"/>
  <c r="F19" i="1" s="1"/>
  <c r="BC70" i="4"/>
  <c r="AV70" i="4"/>
  <c r="BC212" i="4"/>
  <c r="AV174" i="4"/>
  <c r="H142" i="4"/>
  <c r="E26" i="1" s="1"/>
  <c r="BC122" i="4"/>
  <c r="BC163" i="4"/>
  <c r="AV163" i="4"/>
  <c r="BC94" i="4"/>
  <c r="BC151" i="4"/>
  <c r="AV151" i="4"/>
  <c r="AV61" i="4"/>
  <c r="AV34" i="4"/>
  <c r="AV14" i="4"/>
  <c r="BC226" i="4"/>
  <c r="AV226" i="4"/>
  <c r="AV241" i="4"/>
  <c r="BC241" i="4"/>
  <c r="AV171" i="4"/>
  <c r="BC171" i="4"/>
  <c r="AV112" i="4"/>
  <c r="BC112" i="4"/>
  <c r="AV221" i="4"/>
  <c r="BC221" i="4"/>
  <c r="AV253" i="4"/>
  <c r="BC253" i="4"/>
  <c r="BC195" i="4"/>
  <c r="AV195" i="4"/>
  <c r="AV180" i="4"/>
  <c r="BC180" i="4"/>
  <c r="AV166" i="4"/>
  <c r="BC166" i="4"/>
  <c r="AV135" i="4"/>
  <c r="BC135" i="4"/>
  <c r="AV91" i="4"/>
  <c r="BC91" i="4"/>
  <c r="BC84" i="4"/>
  <c r="AV84" i="4"/>
  <c r="BC76" i="4"/>
  <c r="AV76" i="4"/>
  <c r="BC178" i="4"/>
  <c r="AV117" i="4"/>
  <c r="BC117" i="4"/>
  <c r="BC106" i="4"/>
  <c r="BC99" i="4"/>
  <c r="AV99" i="4"/>
  <c r="AV93" i="4"/>
  <c r="BC93" i="4"/>
  <c r="AV75" i="4"/>
  <c r="BC110" i="4"/>
  <c r="AV105" i="4"/>
  <c r="BC105" i="4"/>
  <c r="AV100" i="4"/>
  <c r="BC100" i="4"/>
  <c r="BC79" i="4"/>
  <c r="AV39" i="4"/>
  <c r="BC39" i="4"/>
  <c r="AV22" i="4"/>
  <c r="BC22" i="4"/>
  <c r="J268" i="4"/>
  <c r="G11" i="1"/>
  <c r="I11" i="1" s="1"/>
  <c r="BC103" i="4"/>
  <c r="AV103" i="4"/>
  <c r="AV92" i="4"/>
  <c r="BC92" i="4"/>
  <c r="AU85" i="4"/>
  <c r="BC58" i="4"/>
  <c r="AV251" i="4"/>
  <c r="BC251" i="4"/>
  <c r="AV192" i="4"/>
  <c r="BC192" i="4"/>
  <c r="AV124" i="4"/>
  <c r="BC124" i="4"/>
  <c r="BC71" i="4"/>
  <c r="AV262" i="4"/>
  <c r="BC262" i="4"/>
  <c r="AV235" i="4"/>
  <c r="BC235" i="4"/>
  <c r="AV249" i="4"/>
  <c r="BC249" i="4"/>
  <c r="AV189" i="4"/>
  <c r="AV243" i="4"/>
  <c r="BC243" i="4"/>
  <c r="BC240" i="4"/>
  <c r="BC234" i="4"/>
  <c r="AV234" i="4"/>
  <c r="AV225" i="4"/>
  <c r="BC225" i="4"/>
  <c r="AV260" i="4"/>
  <c r="BC260" i="4"/>
  <c r="AV245" i="4"/>
  <c r="BC245" i="4"/>
  <c r="BC190" i="4"/>
  <c r="AV190" i="4"/>
  <c r="BC169" i="4"/>
  <c r="AV169" i="4"/>
  <c r="BC182" i="4"/>
  <c r="AV182" i="4"/>
  <c r="BC200" i="4"/>
  <c r="BC181" i="4"/>
  <c r="BC174" i="4"/>
  <c r="AV153" i="4"/>
  <c r="BC153" i="4"/>
  <c r="AV134" i="4"/>
  <c r="BC134" i="4"/>
  <c r="AV116" i="4"/>
  <c r="BC116" i="4"/>
  <c r="AV145" i="4"/>
  <c r="BC145" i="4"/>
  <c r="AV127" i="4"/>
  <c r="BC127" i="4"/>
  <c r="BC108" i="4"/>
  <c r="AV108" i="4"/>
  <c r="AV63" i="4"/>
  <c r="BC63" i="4"/>
  <c r="AV121" i="4"/>
  <c r="BC121" i="4"/>
  <c r="AV81" i="4"/>
  <c r="BC81" i="4"/>
  <c r="H69" i="4"/>
  <c r="E20" i="1" s="1"/>
  <c r="C16" i="2"/>
  <c r="C14" i="2"/>
  <c r="BC15" i="4"/>
  <c r="AV238" i="4"/>
  <c r="BC238" i="4"/>
  <c r="AV233" i="4"/>
  <c r="BC233" i="4"/>
  <c r="BC175" i="4"/>
  <c r="AV175" i="4"/>
  <c r="BC140" i="4"/>
  <c r="AV140" i="4"/>
  <c r="AV120" i="4"/>
  <c r="BC120" i="4"/>
  <c r="AV160" i="4"/>
  <c r="BC160" i="4"/>
  <c r="BC128" i="4"/>
  <c r="AV128" i="4"/>
  <c r="AV113" i="4"/>
  <c r="BC113" i="4"/>
  <c r="AV17" i="4"/>
  <c r="BC17" i="4"/>
  <c r="AV187" i="4"/>
  <c r="BC187" i="4"/>
  <c r="C17" i="2"/>
  <c r="C15" i="2"/>
  <c r="BC86" i="4"/>
  <c r="BC62" i="4"/>
  <c r="AV247" i="4"/>
  <c r="BC247" i="4"/>
  <c r="AV227" i="4"/>
  <c r="BC227" i="4"/>
  <c r="AV216" i="4"/>
  <c r="BC216" i="4"/>
  <c r="AV229" i="4"/>
  <c r="BC229" i="4"/>
  <c r="I224" i="4"/>
  <c r="F36" i="1" s="1"/>
  <c r="AV264" i="4"/>
  <c r="BC264" i="4"/>
  <c r="AV202" i="4"/>
  <c r="BC202" i="4"/>
  <c r="AV191" i="4"/>
  <c r="BC191" i="4"/>
  <c r="BC208" i="4"/>
  <c r="AV258" i="4"/>
  <c r="BC258" i="4"/>
  <c r="AV255" i="4"/>
  <c r="BC255" i="4"/>
  <c r="AV231" i="4"/>
  <c r="BC231" i="4"/>
  <c r="G38" i="1"/>
  <c r="I38" i="1" s="1"/>
  <c r="BC242" i="4"/>
  <c r="AV242" i="4"/>
  <c r="H237" i="4"/>
  <c r="E37" i="1" s="1"/>
  <c r="BC230" i="4"/>
  <c r="AV230" i="4"/>
  <c r="BC223" i="4"/>
  <c r="AV223" i="4"/>
  <c r="AV257" i="4"/>
  <c r="BC257" i="4"/>
  <c r="AV197" i="4"/>
  <c r="BC197" i="4"/>
  <c r="AV177" i="4"/>
  <c r="BC177" i="4"/>
  <c r="AV210" i="4"/>
  <c r="BC210" i="4"/>
  <c r="AV204" i="4"/>
  <c r="BC204" i="4"/>
  <c r="H165" i="4"/>
  <c r="E28" i="1" s="1"/>
  <c r="AV147" i="4"/>
  <c r="BC147" i="4"/>
  <c r="H126" i="4"/>
  <c r="E24" i="1" s="1"/>
  <c r="BC119" i="4"/>
  <c r="AV119" i="4"/>
  <c r="BC115" i="4"/>
  <c r="AV115" i="4"/>
  <c r="BC111" i="4"/>
  <c r="AV111" i="4"/>
  <c r="BC87" i="4"/>
  <c r="AV87" i="4"/>
  <c r="AV80" i="4"/>
  <c r="BC80" i="4"/>
  <c r="AV72" i="4"/>
  <c r="BC72" i="4"/>
  <c r="AV104" i="4"/>
  <c r="BC104" i="4"/>
  <c r="AV82" i="4"/>
  <c r="BC82" i="4"/>
  <c r="AV74" i="4"/>
  <c r="BC74" i="4"/>
  <c r="AV155" i="4"/>
  <c r="BC155" i="4"/>
  <c r="AV95" i="4"/>
  <c r="BC95" i="4"/>
  <c r="AV88" i="4"/>
  <c r="BC88" i="4"/>
  <c r="AV77" i="4"/>
  <c r="BC77" i="4"/>
  <c r="AV59" i="4"/>
  <c r="BC59" i="4"/>
  <c r="H55" i="4"/>
  <c r="E19" i="1" s="1"/>
  <c r="AV30" i="4"/>
  <c r="BC30" i="4"/>
  <c r="H186" i="4"/>
  <c r="E31" i="1" s="1"/>
  <c r="AV96" i="4"/>
  <c r="BC96" i="4"/>
  <c r="AV73" i="4"/>
  <c r="BC73" i="4"/>
  <c r="C22" i="2" l="1"/>
  <c r="I28" i="2"/>
  <c r="I29" i="2" s="1"/>
  <c r="G39" i="1"/>
</calcChain>
</file>

<file path=xl/sharedStrings.xml><?xml version="1.0" encoding="utf-8"?>
<sst xmlns="http://schemas.openxmlformats.org/spreadsheetml/2006/main" count="2442" uniqueCount="796">
  <si>
    <t>Slepý stavební rozpočet - rekapitulace</t>
  </si>
  <si>
    <t>Název stavby:</t>
  </si>
  <si>
    <t>Doba výstavby:</t>
  </si>
  <si>
    <t xml:space="preserve"> </t>
  </si>
  <si>
    <t>Objednatel:</t>
  </si>
  <si>
    <t>Druh stavby:</t>
  </si>
  <si>
    <t>Začátek výstavby:</t>
  </si>
  <si>
    <t>Projektant:</t>
  </si>
  <si>
    <t>Lokalita:</t>
  </si>
  <si>
    <t>Konec výstavby:</t>
  </si>
  <si>
    <t>Zhotovitel:</t>
  </si>
  <si>
    <t>Zpracoval:</t>
  </si>
  <si>
    <t>Zpracováno dne:</t>
  </si>
  <si>
    <t>Objekt</t>
  </si>
  <si>
    <t>Kód</t>
  </si>
  <si>
    <t>Zkrácený popis</t>
  </si>
  <si>
    <t>Náklady (Kč) - dodávka</t>
  </si>
  <si>
    <t>Náklady (Kč) - Montáž</t>
  </si>
  <si>
    <t>Náklady (Kč) - celkem</t>
  </si>
  <si>
    <t/>
  </si>
  <si>
    <t>31</t>
  </si>
  <si>
    <t>Zdi podpěrné a volné</t>
  </si>
  <si>
    <t>T</t>
  </si>
  <si>
    <t>34</t>
  </si>
  <si>
    <t>Stěny a příčky</t>
  </si>
  <si>
    <t>41</t>
  </si>
  <si>
    <t>Stropy a stropní konstrukce (pro pozemní stavby)</t>
  </si>
  <si>
    <t>61</t>
  </si>
  <si>
    <t>Úprava povrchů vnitřní</t>
  </si>
  <si>
    <t>62</t>
  </si>
  <si>
    <t>Úprava povrchů vnější</t>
  </si>
  <si>
    <t>63</t>
  </si>
  <si>
    <t>Podlahy a podlahové konstrukce</t>
  </si>
  <si>
    <t>64</t>
  </si>
  <si>
    <t>Výplně otvorů</t>
  </si>
  <si>
    <t>711</t>
  </si>
  <si>
    <t>Izolace proti vodě</t>
  </si>
  <si>
    <t>721</t>
  </si>
  <si>
    <t>Vnitřní kanalizace</t>
  </si>
  <si>
    <t>722</t>
  </si>
  <si>
    <t>Vnitřní vodovod</t>
  </si>
  <si>
    <t>725</t>
  </si>
  <si>
    <t>Zařizovací předměty</t>
  </si>
  <si>
    <t>728</t>
  </si>
  <si>
    <t>Vzduchotechnika</t>
  </si>
  <si>
    <t>762</t>
  </si>
  <si>
    <t>Konstrukce tesařské</t>
  </si>
  <si>
    <t>766</t>
  </si>
  <si>
    <t>Konstrukce truhlářské</t>
  </si>
  <si>
    <t>767</t>
  </si>
  <si>
    <t>Konstrukce doplňkové stavební (zámečnické)</t>
  </si>
  <si>
    <t>771</t>
  </si>
  <si>
    <t>Podlahy z dlaždic</t>
  </si>
  <si>
    <t>777</t>
  </si>
  <si>
    <t>Podlahy ze syntetických hmot</t>
  </si>
  <si>
    <t>781</t>
  </si>
  <si>
    <t>Obklady (keramické)</t>
  </si>
  <si>
    <t>783</t>
  </si>
  <si>
    <t>Nátěry</t>
  </si>
  <si>
    <t>94</t>
  </si>
  <si>
    <t>Lešení a stavební výtahy</t>
  </si>
  <si>
    <t>95</t>
  </si>
  <si>
    <t>Různé dokončovací konstrukce a práce na pozemních stavbách</t>
  </si>
  <si>
    <t>96</t>
  </si>
  <si>
    <t>Bourání konstrukcí</t>
  </si>
  <si>
    <t>97</t>
  </si>
  <si>
    <t>Prorážení otvorů a ostatní bourací práce</t>
  </si>
  <si>
    <t>H99</t>
  </si>
  <si>
    <t>Ostatní přesuny hmot</t>
  </si>
  <si>
    <t>M22</t>
  </si>
  <si>
    <t>Montáže sdělovací a zabezpečovací techniky</t>
  </si>
  <si>
    <t>M65</t>
  </si>
  <si>
    <t>Elektroinstalace</t>
  </si>
  <si>
    <t>S</t>
  </si>
  <si>
    <t>Přesuny sutí</t>
  </si>
  <si>
    <t>VORN</t>
  </si>
  <si>
    <t>Vedlejší a ostatní rozpočtové náklady</t>
  </si>
  <si>
    <t>03VRN</t>
  </si>
  <si>
    <t>Zařízení staveniště</t>
  </si>
  <si>
    <t>Celkem:</t>
  </si>
  <si>
    <t>Krycí list slepého rozpočtu</t>
  </si>
  <si>
    <t>IČO/DIČ:</t>
  </si>
  <si>
    <t>Položek:</t>
  </si>
  <si>
    <t>JKSO:</t>
  </si>
  <si>
    <t>Datum:</t>
  </si>
  <si>
    <t>Rozpočtové náklady v Kč</t>
  </si>
  <si>
    <t>A</t>
  </si>
  <si>
    <t>Základní rozpočtové náklady</t>
  </si>
  <si>
    <t>B</t>
  </si>
  <si>
    <t>Doplňkové náklady</t>
  </si>
  <si>
    <t>C</t>
  </si>
  <si>
    <t>Náklady na umístění stavby (NUS)</t>
  </si>
  <si>
    <t>HSV</t>
  </si>
  <si>
    <t>Dodávky</t>
  </si>
  <si>
    <t>Práce přesčas</t>
  </si>
  <si>
    <t>Montáž</t>
  </si>
  <si>
    <t>Bez pevné podl.</t>
  </si>
  <si>
    <t>Mimostav. doprava</t>
  </si>
  <si>
    <t>PSV</t>
  </si>
  <si>
    <t>Kulturní památka</t>
  </si>
  <si>
    <t>Územní vlivy</t>
  </si>
  <si>
    <t>Provozní vlivy</t>
  </si>
  <si>
    <t>"M"</t>
  </si>
  <si>
    <t>Ostatní</t>
  </si>
  <si>
    <t>NUS z rozpočtu</t>
  </si>
  <si>
    <t>Ostatní materiál</t>
  </si>
  <si>
    <t>Přesun hmot a sutí</t>
  </si>
  <si>
    <t>ZRN celkem</t>
  </si>
  <si>
    <t>DN celkem</t>
  </si>
  <si>
    <t>NUS celkem</t>
  </si>
  <si>
    <t>DN celkem z obj.</t>
  </si>
  <si>
    <t>NUS celkem z obj.</t>
  </si>
  <si>
    <t>VORN celkem</t>
  </si>
  <si>
    <t>VORN celkem z obj.</t>
  </si>
  <si>
    <t>Základ 0%</t>
  </si>
  <si>
    <t>Základ 12%</t>
  </si>
  <si>
    <t>DPH 12%</t>
  </si>
  <si>
    <t>Celkem bez DPH</t>
  </si>
  <si>
    <t>Základ 21%</t>
  </si>
  <si>
    <t>DPH 21%</t>
  </si>
  <si>
    <t>Celkem včetně DPH</t>
  </si>
  <si>
    <t>Projektant</t>
  </si>
  <si>
    <t>Objednatel</t>
  </si>
  <si>
    <t>Zhotovitel</t>
  </si>
  <si>
    <t>Datum, razítko a podpis</t>
  </si>
  <si>
    <t>Poznámka:</t>
  </si>
  <si>
    <t>Vedlejší rozpočtové náklady VRN</t>
  </si>
  <si>
    <t>Doplňkové náklady DN</t>
  </si>
  <si>
    <t>Kč</t>
  </si>
  <si>
    <t>%</t>
  </si>
  <si>
    <t>Základna</t>
  </si>
  <si>
    <t>Celkem DN</t>
  </si>
  <si>
    <t>Celkem NUS</t>
  </si>
  <si>
    <t>Celkem VRN</t>
  </si>
  <si>
    <t>Vedlejší a ostatní rozpočtové náklady VORN</t>
  </si>
  <si>
    <t>Ostatní rozpočtové náklady (VORN)</t>
  </si>
  <si>
    <t>Průzkumy, geodetické a projektové práce</t>
  </si>
  <si>
    <t>Příprava staveniště</t>
  </si>
  <si>
    <t>Inženýrské činnosti</t>
  </si>
  <si>
    <t>Finanční náklady</t>
  </si>
  <si>
    <t>Náklady na pracovníky</t>
  </si>
  <si>
    <t>Ostatní náklady</t>
  </si>
  <si>
    <t>Vlastní VORN</t>
  </si>
  <si>
    <t>Celkem VORN</t>
  </si>
  <si>
    <t>Slepý stavební rozpočet</t>
  </si>
  <si>
    <t>Oprava sociálního zařízení v krytém bazénu Chrudim</t>
  </si>
  <si>
    <t>Sportovní areály města Chrudim s.r.o.</t>
  </si>
  <si>
    <t>oprava</t>
  </si>
  <si>
    <t>ing. Petr Linek</t>
  </si>
  <si>
    <t>Chrudim</t>
  </si>
  <si>
    <t> </t>
  </si>
  <si>
    <t>Zdeňka Altová</t>
  </si>
  <si>
    <t>Č</t>
  </si>
  <si>
    <t>MJ</t>
  </si>
  <si>
    <t>Množství</t>
  </si>
  <si>
    <t>Cena/MJ</t>
  </si>
  <si>
    <t>Náklady (Kč)</t>
  </si>
  <si>
    <t>ISWORK</t>
  </si>
  <si>
    <t>GROUPCODE</t>
  </si>
  <si>
    <t>VATTAX</t>
  </si>
  <si>
    <t>Rozměry</t>
  </si>
  <si>
    <t>(Kč)</t>
  </si>
  <si>
    <t>Dodávka</t>
  </si>
  <si>
    <t>Celkem</t>
  </si>
  <si>
    <t>Přesuny</t>
  </si>
  <si>
    <t>Typ skupiny</t>
  </si>
  <si>
    <t>HSV mat</t>
  </si>
  <si>
    <t>HSV prac</t>
  </si>
  <si>
    <t>PSV mat</t>
  </si>
  <si>
    <t>PSV prac</t>
  </si>
  <si>
    <t>Mont mat</t>
  </si>
  <si>
    <t>Mont prac</t>
  </si>
  <si>
    <t>Ostatní mat.</t>
  </si>
  <si>
    <t>MAT</t>
  </si>
  <si>
    <t>WORK</t>
  </si>
  <si>
    <t>CELK</t>
  </si>
  <si>
    <t>1</t>
  </si>
  <si>
    <t>310271520R00</t>
  </si>
  <si>
    <t>Zazdívka otvorů do 1 m2, pórobet.tvárnice, tl.20cm</t>
  </si>
  <si>
    <t>m3</t>
  </si>
  <si>
    <t>31_</t>
  </si>
  <si>
    <t>3_</t>
  </si>
  <si>
    <t>_</t>
  </si>
  <si>
    <t>2</t>
  </si>
  <si>
    <t>310271630R00</t>
  </si>
  <si>
    <t>Zazdívka otvorů do 4 m2, pórobet.tvárnice, tl.30cm</t>
  </si>
  <si>
    <t>3</t>
  </si>
  <si>
    <t>317944311RT3</t>
  </si>
  <si>
    <t>Válcované nosníky do č. 12 osazované do připravených otvorů, včetně dodávky profilu I č.12</t>
  </si>
  <si>
    <t>t</t>
  </si>
  <si>
    <t>RTS komentář:</t>
  </si>
  <si>
    <t>Položky obsahují i náklady na dodávku nosníku profilu I č. 12 včetně jeho nařezání na potřebný rozměr</t>
  </si>
  <si>
    <t>4</t>
  </si>
  <si>
    <t>317941121RT3</t>
  </si>
  <si>
    <t>Osazení ocelových válcovaných nosníků do č. 12, včetně dodávky profilu I č. 12</t>
  </si>
  <si>
    <t xml:space="preserve"> V položkách je mimo vlastního osazení zakalkulována i dodávka ocelových válcovaných nosníků profilu I č.12 včetně ztratného ve výši 8%, které kryje náklady na prořez (zbytkový odpad) a náklady na řezání příslušných délek.</t>
  </si>
  <si>
    <t>5</t>
  </si>
  <si>
    <t>317941123RT2</t>
  </si>
  <si>
    <t>Osazení ocelových válcovaných nosníků  č. 14 - 22, včetně dodávky profilu I č. 14</t>
  </si>
  <si>
    <t xml:space="preserve"> V položkách je mimo vlastního osazení zakalkulována i dodávka ocelových válcovaných nosníků profilu I č.14 včetně ztratného ve výši 8%, které kryje náklady na prořez (zbytkový odpad) a náklady na řezání příslušných délek</t>
  </si>
  <si>
    <t>6</t>
  </si>
  <si>
    <t>342255024R00</t>
  </si>
  <si>
    <t>Příčky z pórobetonových tvárnic tl. 100 mm, 599 x 249 x 100 mm</t>
  </si>
  <si>
    <t>m2</t>
  </si>
  <si>
    <t>34_</t>
  </si>
  <si>
    <t>7</t>
  </si>
  <si>
    <t>340271610R00</t>
  </si>
  <si>
    <t>Zazdívka otvorů pl.do 4 m2, pórobet.tvár.,tl.10 cm</t>
  </si>
  <si>
    <t>V položce jsou zakalkulovány náklady na pomocné pracovní lešení o výšce podlahy do 1900 mm a pro zatížení do 1,5 kPa</t>
  </si>
  <si>
    <t>8</t>
  </si>
  <si>
    <t>342255028R00</t>
  </si>
  <si>
    <t>Příčky z pórobetonových tvárnic tl. 150 mm - instalační přizdívka, 599 x 249 x 100 mm</t>
  </si>
  <si>
    <t>9</t>
  </si>
  <si>
    <t>411387531R00</t>
  </si>
  <si>
    <t>Zabetonování otvorů 0,25 m2 ve stropech a klenbách</t>
  </si>
  <si>
    <t>kus</t>
  </si>
  <si>
    <t>41_</t>
  </si>
  <si>
    <t>4_</t>
  </si>
  <si>
    <t>V položce jsou zakalkulovány i náklady na bednění a odbednění konstrukce a na dodávku a uložení potřebné výztuže</t>
  </si>
  <si>
    <t>10</t>
  </si>
  <si>
    <t>612481211RT2</t>
  </si>
  <si>
    <t>Montáž výztužné sítě(perlinky)do stěrky-vnit.stěny, včetně výztužné sítě a stěrkového tmelu</t>
  </si>
  <si>
    <t>61_</t>
  </si>
  <si>
    <t>6_</t>
  </si>
  <si>
    <t>Položka obsahuje natažení stěrkového tmelu, vtlačení výztužné sítě a rozetření tmelu.</t>
  </si>
  <si>
    <t>11</t>
  </si>
  <si>
    <t>612474611RT3</t>
  </si>
  <si>
    <t>Omítka stěn vnitřní, VPC jádro, vápen.štuk, ručně, na pórobeton</t>
  </si>
  <si>
    <t>Položka obsahuje penetraci, vápenocementové jádro tl. 15 mm a vápenný štuk tl. 2,5 mm.  Ruční provedení</t>
  </si>
  <si>
    <t>12</t>
  </si>
  <si>
    <t>612409991RT2</t>
  </si>
  <si>
    <t>Začištění omítek kolem oken,dveří apod.</t>
  </si>
  <si>
    <t>m</t>
  </si>
  <si>
    <t>13</t>
  </si>
  <si>
    <t>620991121R00</t>
  </si>
  <si>
    <t>Zakrývání výplní vnějších otvorů z lešení - podobná položka - prachotěsné uzavření dveřních otvorů silnou folií</t>
  </si>
  <si>
    <t>62_</t>
  </si>
  <si>
    <t>Zakrývání výplní vnějších otvorů s rámy a zárubněmi, zábradlí, předmětů, oplechování apod., která se zřizují ještě před úpravami povrchu, před jejich znečištěním při úpravách povrchu nástřikem plastických (lepivých) maltovin, prováděné z lešení. Položka je určena pro zakrývání jakýmkoliv způsobem.  Množství měrných jednotek se určuje v m2 plochy kótovaných okenních otvorů, v rozměrech předmětů, konstrukcí, oplechování apod. jsou-li zcela obklopeny nástřikem. Zakrývání okrajů nastříkaných ploch a osaěmlých pásů ohraničených oplechováním, obklady, souvislým pásem oken, ochrana dlažby logií pod upravovanou stěnou apod. se určuje v ploše pruhů o šířce nejvýše 400 mm. Odkrytí je v položce započteno</t>
  </si>
  <si>
    <t>14</t>
  </si>
  <si>
    <t>632415110RT2</t>
  </si>
  <si>
    <t>Potěr vyrovnávací samonivelační ručně tl. 10 mm</t>
  </si>
  <si>
    <t>63_</t>
  </si>
  <si>
    <t xml:space="preserve">Položka obsahuje jednonásobnou penetraci podkladu hmotou MFC Primer, rozmíchání suché směsi MFC Level s vodou podle receptury výrobce a rozprostření směsi. </t>
  </si>
  <si>
    <t>15</t>
  </si>
  <si>
    <t>631312621R00</t>
  </si>
  <si>
    <t>Mazanina betonová tl. 5 - 8 cm C 20/25</t>
  </si>
  <si>
    <t>Položka je určena pro mazaninu hlazenou dřevěným hladítkem a to pro mazaninu krycí, popř. podkladní nebo vyrovnávací nebo plovoucí, pod potěry, vlýsky do asfaltu, pod podlahy. Mazaniny tlouštěk do 5 cm se oceňují položkami souboru 63245-1031 až 1034 Vyrovnávací potěr. Položka je určena i pro betonový okapový chodníček budovy. Jeho podloží se oceňuje samostatně. V položce jsou zakalkulovány i náklady na vytvoření dilatačních spár v mazanině bez zaplnění. Tyto náklady se oceňují položkami souboru 63460 Zaplnění dilatačních spár v mazaninách</t>
  </si>
  <si>
    <t>16</t>
  </si>
  <si>
    <t>631319181R00</t>
  </si>
  <si>
    <t>Příplatek za sklon mazaniny 15°-35°  tl. 5 - 8 cm</t>
  </si>
  <si>
    <t>Položka je určena za sklon mazaniny přes 15 do 35 st. od vodorovné roviny.</t>
  </si>
  <si>
    <t>17</t>
  </si>
  <si>
    <t>642944121RT4</t>
  </si>
  <si>
    <t>Osazení ocelových zárubní dodatečně do 2,5 m2 včetně dodávky zárubně 800 x 1970 x 100 mm</t>
  </si>
  <si>
    <t>64_</t>
  </si>
  <si>
    <t>V položce jsou zakalkulovány i náklady na dodávku ocelové zárubně 80x197x11. V položce jsou zakalkulovány náklady na pomocné pracovní lešení o výšce podlahy do 1900 mm a pro zatížení do 1,5 kPa</t>
  </si>
  <si>
    <t>18</t>
  </si>
  <si>
    <t>61165003</t>
  </si>
  <si>
    <t>Dveře vnitřní hladké plné z HPL desek 1-křídlé 800 x 1970 mm</t>
  </si>
  <si>
    <t>podobná položka</t>
  </si>
  <si>
    <t>19</t>
  </si>
  <si>
    <t>711212002R00</t>
  </si>
  <si>
    <t>Izolace proti vodě a vlhkosti, hydroizolační povlak - nátěr nebo stěrka (podlaha, stěny sprcha)</t>
  </si>
  <si>
    <t>711_</t>
  </si>
  <si>
    <t>71_</t>
  </si>
  <si>
    <t xml:space="preserve">Tloušťka 2 mm. Apikace pomocí válečku nebo štětky ve dvou vrstvách. Pod hydroizolační stěrku je vždy nutné použít penetraci pol.č. 71121-2000. Na beton a zdivo u pozemních, inženýrských a vodních staveb, ve vnitřních a vnějších prostorách, pro novostavby a starou zástavbu (včetně rekonstrukcí), také pod obklady a dlažby v bazénech, na terasách a balkonech, do kanálů, jímek, šachet, kejdovacích a silážních jam apod. </t>
  </si>
  <si>
    <t>20</t>
  </si>
  <si>
    <t>711212000R00</t>
  </si>
  <si>
    <t>Penetrace podkladu pod hydroizolační hmoty, včetně dodávky</t>
  </si>
  <si>
    <t>Penetrace podkladů pod hydroizolační nátěry</t>
  </si>
  <si>
    <t>21</t>
  </si>
  <si>
    <t>721 01IM</t>
  </si>
  <si>
    <t>Podlahová vpust DN50 např.  HL510NPr</t>
  </si>
  <si>
    <t>ks</t>
  </si>
  <si>
    <t>721_</t>
  </si>
  <si>
    <t>72_</t>
  </si>
  <si>
    <t>22</t>
  </si>
  <si>
    <t>721 02IM</t>
  </si>
  <si>
    <t>Podlahová vpust DN70 např. HL317</t>
  </si>
  <si>
    <t>23</t>
  </si>
  <si>
    <t>721 03IM</t>
  </si>
  <si>
    <t>Přivzdušňovací ventil  např. HL905N</t>
  </si>
  <si>
    <t>24</t>
  </si>
  <si>
    <t>721 04IM</t>
  </si>
  <si>
    <t>Připojovací potrubí kanalizace - HT systém Hrdlová trubka DN 40</t>
  </si>
  <si>
    <t>25</t>
  </si>
  <si>
    <t>721 05IM</t>
  </si>
  <si>
    <t>Připojovací potrubí kanalizace - HT systém Hrdlová trubka DN 50</t>
  </si>
  <si>
    <t>26</t>
  </si>
  <si>
    <t>721 06IM</t>
  </si>
  <si>
    <t>Připojovací potrubí kanalizace - HT systém Hrdlová trubka DN 70</t>
  </si>
  <si>
    <t>27</t>
  </si>
  <si>
    <t>721 07IM</t>
  </si>
  <si>
    <t>Připojovací potrubí kanalizace - HT systém Hrdlová trubka DN 100</t>
  </si>
  <si>
    <t>28</t>
  </si>
  <si>
    <t>721 08IM</t>
  </si>
  <si>
    <t>Připojovací potrubí kanalizace - HT systém čistící kus DN100</t>
  </si>
  <si>
    <t>29</t>
  </si>
  <si>
    <t>721 09IM</t>
  </si>
  <si>
    <t>Drobný materiál kolena, redukce, odbočky, upevnění</t>
  </si>
  <si>
    <t>soubor</t>
  </si>
  <si>
    <t>30</t>
  </si>
  <si>
    <t>721 10IM</t>
  </si>
  <si>
    <t>Zkouška těsnosti kanalizace  - vodou, kouřem</t>
  </si>
  <si>
    <t>721 11IM</t>
  </si>
  <si>
    <t>pro DN100 - DN70 – objímky</t>
  </si>
  <si>
    <t>32</t>
  </si>
  <si>
    <t>721 12IM</t>
  </si>
  <si>
    <t>pro DN50 – DN40– objímky</t>
  </si>
  <si>
    <t>33</t>
  </si>
  <si>
    <t>721 13IM</t>
  </si>
  <si>
    <t>Montáž kanalizace</t>
  </si>
  <si>
    <t>722 01IM</t>
  </si>
  <si>
    <t>K. K. - 1/2" s vypouštěním (Giacomini R 250 DS)</t>
  </si>
  <si>
    <t>722_</t>
  </si>
  <si>
    <t>35</t>
  </si>
  <si>
    <t>722 02IM</t>
  </si>
  <si>
    <t>K. K. - 1" s vypouštěním (Giacomini R 250 DS)</t>
  </si>
  <si>
    <t>36</t>
  </si>
  <si>
    <t>722 03IM</t>
  </si>
  <si>
    <t>Vodovodní potrubí - EKOPLASTIK PPR-CT EVO S4 trubka DN15 (20/2,3)</t>
  </si>
  <si>
    <t>37</t>
  </si>
  <si>
    <t>722 04IM</t>
  </si>
  <si>
    <t>Vodovodní potrubí - EKOPLASTIK PPR-CT EVO S4 trubka DN20 (25/2,8)</t>
  </si>
  <si>
    <t>38</t>
  </si>
  <si>
    <t>722 05IM</t>
  </si>
  <si>
    <t>Vodovodní potrubí - EKOPLASTIK PPR-CT EVO S4 trubka DN25 (32/3,6)</t>
  </si>
  <si>
    <t>39</t>
  </si>
  <si>
    <t>722 06IM</t>
  </si>
  <si>
    <t>Vodovodní potrubí - EKOPLASTIK PPR-CT EVO S4 Tvarovky, fitinky, zástřiky, přechody</t>
  </si>
  <si>
    <t>40</t>
  </si>
  <si>
    <t>722 07IM</t>
  </si>
  <si>
    <t>Potrubní izolace polyethylenová např. TUBOLIT DG, síla stěny 13mm DG 20 x 13</t>
  </si>
  <si>
    <t>722 08IM</t>
  </si>
  <si>
    <t>Potrubní izolace polyethylenová např. TUBOLIT DG, síla stěny 13mm DG 25 x 13</t>
  </si>
  <si>
    <t>42</t>
  </si>
  <si>
    <t>722 09IM</t>
  </si>
  <si>
    <t>Potrubní izolace polyethylenová např. TUBOLIT DG, síla stěny 13mm DG 32 x 13</t>
  </si>
  <si>
    <t>43</t>
  </si>
  <si>
    <t>722 10IM</t>
  </si>
  <si>
    <t>Potrubní izolace polyethylenová např. TUBOLIT DG, síla stěny 30mm DG 22 x 30</t>
  </si>
  <si>
    <t>44</t>
  </si>
  <si>
    <t>722 11IM</t>
  </si>
  <si>
    <t>Potrubní izolace polyethylenová např. TUBOLIT DG, síla stěny 30mm DG 35 x 30</t>
  </si>
  <si>
    <t>45</t>
  </si>
  <si>
    <t>722 12IM</t>
  </si>
  <si>
    <t>závěsy, kotvení, upevnění, objímky</t>
  </si>
  <si>
    <t>46</t>
  </si>
  <si>
    <t>722 13IM</t>
  </si>
  <si>
    <t>Tlakové zkoušky vnitřního vodovodu</t>
  </si>
  <si>
    <t>47</t>
  </si>
  <si>
    <t>Proplach a dezinfekce potrubí vnitřního vodovodu</t>
  </si>
  <si>
    <t>48</t>
  </si>
  <si>
    <t>722 14IM</t>
  </si>
  <si>
    <t>Montáž vnitřního vodovodu</t>
  </si>
  <si>
    <t>49</t>
  </si>
  <si>
    <t>725290020RA0</t>
  </si>
  <si>
    <t>Demontáž umyvadla včetně baterie a konzol</t>
  </si>
  <si>
    <t>725_</t>
  </si>
  <si>
    <t>50</t>
  </si>
  <si>
    <t>725290010RA0</t>
  </si>
  <si>
    <t>Demontáž klozetu včetně splachovací nádrže + výlevka</t>
  </si>
  <si>
    <t>51</t>
  </si>
  <si>
    <t>725290020RA1</t>
  </si>
  <si>
    <t>Demontáž sprchové baterie</t>
  </si>
  <si>
    <t>52</t>
  </si>
  <si>
    <t>725 U1IM</t>
  </si>
  <si>
    <t>Umyvadlo 55 cm, otvor pro baterii uprostřed v provedení bez přepadu</t>
  </si>
  <si>
    <t>53</t>
  </si>
  <si>
    <t>725 U2IM</t>
  </si>
  <si>
    <t>Baterie umyvadlová stojánková jednopáková, chrom s keramickou kartuší</t>
  </si>
  <si>
    <t>kpl</t>
  </si>
  <si>
    <t>54</t>
  </si>
  <si>
    <t>725 U3IM</t>
  </si>
  <si>
    <t>rohový ventil vřetenový s rozeteou, nerez</t>
  </si>
  <si>
    <t>55</t>
  </si>
  <si>
    <t>725 U5IM</t>
  </si>
  <si>
    <t>Montážní příslušenství – šrouby</t>
  </si>
  <si>
    <t>56</t>
  </si>
  <si>
    <t>725 U6IM</t>
  </si>
  <si>
    <t>umyvadlový sifon závit 5/4", DN40 mosaz, povrch chrom/ chromovaná ABS</t>
  </si>
  <si>
    <t>57</t>
  </si>
  <si>
    <t>725 U7IM</t>
  </si>
  <si>
    <t>vtokový ventil metriál kov, chrom, bez špuntu</t>
  </si>
  <si>
    <t>58</t>
  </si>
  <si>
    <t>725 WC1IM</t>
  </si>
  <si>
    <t>Závěsný klozet, slinutá keramika, standartní velikost (cca š 360mm, h 400mm, d 530mm), splachování se splachovacím okruhem/bez splachovacího okruhu, b</t>
  </si>
  <si>
    <t>59</t>
  </si>
  <si>
    <t>725 WC2IM</t>
  </si>
  <si>
    <t>Klozetové sedátko s poklopem, tvrzený plast, nerezové panty</t>
  </si>
  <si>
    <t>60</t>
  </si>
  <si>
    <t>725 WC3IM</t>
  </si>
  <si>
    <t>příslušenství - k závěsnému klozetu</t>
  </si>
  <si>
    <t>725 WC4IM</t>
  </si>
  <si>
    <t>WC-modul podomítkový  s úsp. splachovací kapacitou (3/4,5 - 3/6 l)</t>
  </si>
  <si>
    <t>725 WC5IM</t>
  </si>
  <si>
    <t>WC ovládací deska tvar pravoúhlý, nerez, plast  - pro dvojí splachování</t>
  </si>
  <si>
    <t>725 PZ1IM</t>
  </si>
  <si>
    <t>pisoár keramický, se senzorovým splachováním, pro síťové napájení</t>
  </si>
  <si>
    <t>725 PZ2IM</t>
  </si>
  <si>
    <t>napájecí zdroj</t>
  </si>
  <si>
    <t>65</t>
  </si>
  <si>
    <t>725 PZ3IM</t>
  </si>
  <si>
    <t>zápachový sifon</t>
  </si>
  <si>
    <t>66</t>
  </si>
  <si>
    <t>725 PZ4IM</t>
  </si>
  <si>
    <t>montážní šrouby k připevnění pisoáru s chrom krytkou</t>
  </si>
  <si>
    <t>pár</t>
  </si>
  <si>
    <t>67</t>
  </si>
  <si>
    <t>725 PZ5IM</t>
  </si>
  <si>
    <t>68</t>
  </si>
  <si>
    <t>725 PZ6IM</t>
  </si>
  <si>
    <t>připojovací hadičky nerezový úplet se zpětnými klapkami (dodávka kompletu pisoáru)</t>
  </si>
  <si>
    <t>69</t>
  </si>
  <si>
    <t>725 S1IM</t>
  </si>
  <si>
    <t>Tlačná sprchová směšovací podomítková baterie</t>
  </si>
  <si>
    <t xml:space="preserve">Tlačný samouzavírací ventil sprchový do zdi, na smíchanou vodu včetně krycí růžice, převlečných matic a instalační krabice, odolné/vandaluvzdorné provedení, použité materiály odolné proti korozi a vodnímu kameni;  samočisticí mechanismus bez použití plastových komponentů,výrobce i dodavatel certifikován ISO9001, doba výtoku 30 sec (± 5) – včetně sprchového setu (sprchová hlavice, hadice, držák); rozebíratelný – s vyměnitelnými vnitřními součástmi. 
</t>
  </si>
  <si>
    <t>70</t>
  </si>
  <si>
    <t>725 M1IM</t>
  </si>
  <si>
    <t>Montáž zařizovacích předmětů</t>
  </si>
  <si>
    <t>71</t>
  </si>
  <si>
    <t>728 01IM</t>
  </si>
  <si>
    <t>Talířový ventil, koový, RAL9010, pr.160 vč zděře - přívod vzduchu</t>
  </si>
  <si>
    <t>728_</t>
  </si>
  <si>
    <t>72</t>
  </si>
  <si>
    <t>728 02IM</t>
  </si>
  <si>
    <t>Talířový ventil, koový, RAL9010, pr.100 vč zděře - odvod vzduchu</t>
  </si>
  <si>
    <t>73</t>
  </si>
  <si>
    <t>728 03IM</t>
  </si>
  <si>
    <t>Kruhové SPIRO potrubí, pr.200mm vč tvarovek</t>
  </si>
  <si>
    <t>bm</t>
  </si>
  <si>
    <t>74</t>
  </si>
  <si>
    <t>728 04IM</t>
  </si>
  <si>
    <t>Kruhové SPIRO potrubí, pr.160mm vč tvarovek</t>
  </si>
  <si>
    <t>75</t>
  </si>
  <si>
    <t>728 05IM</t>
  </si>
  <si>
    <t>Kruhové SPIRO potrubí, pr.100mm vč tvarovek</t>
  </si>
  <si>
    <t>76</t>
  </si>
  <si>
    <t>728 06IM</t>
  </si>
  <si>
    <t>Hlukově izolované ohebné potrubí, pr.160mm</t>
  </si>
  <si>
    <t>77</t>
  </si>
  <si>
    <t>728 07IM</t>
  </si>
  <si>
    <t>Hlukově izolované ohebné potrubí, pr.100mm</t>
  </si>
  <si>
    <t>78</t>
  </si>
  <si>
    <t>728 08IM</t>
  </si>
  <si>
    <t>Čtyřhranné potrubí pozink</t>
  </si>
  <si>
    <t>79</t>
  </si>
  <si>
    <t>728 09IM</t>
  </si>
  <si>
    <t>Montáž zařízení vzduchotechniky</t>
  </si>
  <si>
    <t>80</t>
  </si>
  <si>
    <t>728 10IM</t>
  </si>
  <si>
    <t>Demontáž stávajících distribučních prvků a rozvodů VZT - rozsah dle obhlídky místa plnění</t>
  </si>
  <si>
    <t>81</t>
  </si>
  <si>
    <t>728 11IM</t>
  </si>
  <si>
    <t>Montážní a závěsný materiál</t>
  </si>
  <si>
    <t>82</t>
  </si>
  <si>
    <t>728 12IM</t>
  </si>
  <si>
    <t>Zaregulování, zaškolení, zprovoznění</t>
  </si>
  <si>
    <t>83</t>
  </si>
  <si>
    <t>728 13IM</t>
  </si>
  <si>
    <t>Doprava</t>
  </si>
  <si>
    <t>84</t>
  </si>
  <si>
    <t>762712110RT5</t>
  </si>
  <si>
    <t>Montáž vázaných konstrukcí hraněných do 120 cm2, včetně dodávky hoblovaných hranolů 80/140cm a povrchové úpravy</t>
  </si>
  <si>
    <t>762_</t>
  </si>
  <si>
    <t>76_</t>
  </si>
  <si>
    <t>V položce jsou zakalkulovány i naklady na vyvrtání děr, osazení svorníků a dotažení rektifikačních článků. V položce nejsou zakalkulovány náklady na montáž hmoždinek a táhel.Tyto práce se oceňují položkami souboru 762 31 Montáž hmoždinek a táhel</t>
  </si>
  <si>
    <t>85</t>
  </si>
  <si>
    <t>766670032RA0</t>
  </si>
  <si>
    <t>Dveře  plastové 1křídlové 750x2100 osazení a dodávka</t>
  </si>
  <si>
    <t>766_</t>
  </si>
  <si>
    <t>86</t>
  </si>
  <si>
    <t>766121210R00</t>
  </si>
  <si>
    <t>Stěny montované plné z desek HPL, na nožičkách s dveřmi v.2100mm, kabiny</t>
  </si>
  <si>
    <t>V položce je zakalkulována i montáž oboustranného olištování</t>
  </si>
  <si>
    <t>87</t>
  </si>
  <si>
    <t>766664911R00</t>
  </si>
  <si>
    <t>Vyřezání otvoru v dveřních křídlech kompletizovan.(500x100mm)</t>
  </si>
  <si>
    <t>88</t>
  </si>
  <si>
    <t>42973110</t>
  </si>
  <si>
    <t>Větrací mřížka do dveří 500x100mm oboustranná, nerez</t>
  </si>
  <si>
    <t>89</t>
  </si>
  <si>
    <t>767581802R00</t>
  </si>
  <si>
    <t>Demontáž podhledů z lamel</t>
  </si>
  <si>
    <t>767_</t>
  </si>
  <si>
    <t>90</t>
  </si>
  <si>
    <t>767131801R00</t>
  </si>
  <si>
    <t>Demontáž příček z desek HPL</t>
  </si>
  <si>
    <t>91</t>
  </si>
  <si>
    <t>767587211R00</t>
  </si>
  <si>
    <t>Podhled minerální,kazeta 600x600mm, do vlhkého prostředí</t>
  </si>
  <si>
    <t>Položka je určena pro montáž podhledů Knauf z kazet 600 x 600 mm. V položce jsou zakalkulovány náklady na: - montáž a dodávku kazet.  Označení SK, VT vyjadřuje způsob uložení kazet na rošt SK - hrana kazety je v úrovni roštu VT - hrana kazety je pod úrovní roštu</t>
  </si>
  <si>
    <t>92</t>
  </si>
  <si>
    <t>767995101R00</t>
  </si>
  <si>
    <t>Výroba a montáž kov. atypických konstr. do 5 kg - kotevní deska 250x250mm tl.5mm</t>
  </si>
  <si>
    <t>kg</t>
  </si>
  <si>
    <t>93</t>
  </si>
  <si>
    <t>13611218</t>
  </si>
  <si>
    <t>kotevní deska 250x250mm tl.5mm</t>
  </si>
  <si>
    <t>Plech ocelový ZTV z nelegované oceli dle ČSN EN 10029 (TDP ČSN EN 10025-2; ČSN 42 0145)  hmotnost 39,3 kg/m</t>
  </si>
  <si>
    <t>771111122R00</t>
  </si>
  <si>
    <t>Montáž podlahových lišt přechodových</t>
  </si>
  <si>
    <t>771_</t>
  </si>
  <si>
    <t>77_</t>
  </si>
  <si>
    <t>Položka je určena pro vytvoření  přechodU mezi různými podlahovými materiály. Položka obsahuje : - přípravu lišty, - osazení samolepicí lišty, nebo lišty do tmelu. Položka neobsahuje žádný materiál</t>
  </si>
  <si>
    <t>5537026121</t>
  </si>
  <si>
    <t>Lišta přechodová samolepicí ukončovací Al elox stříbro E01, š. 40 mm, l = 2700 mm (800/900/750)</t>
  </si>
  <si>
    <t>profil pro podlahy o nestejné výšce  eloxovaný hliník šířka 40 mm samolepicí lišt</t>
  </si>
  <si>
    <t>771575113R00</t>
  </si>
  <si>
    <t>Montáž podlah keram.,hladké, tmel, 30x60 cm</t>
  </si>
  <si>
    <t>spára 10/1</t>
  </si>
  <si>
    <t>59764206</t>
  </si>
  <si>
    <t>Dlažba keramická 300 x 600 x 10 mm , dle výběru investora</t>
  </si>
  <si>
    <t>Slinuté neglazované obkladové prvky s velmi nízkou nasákavostí pod 0,5 %, určené k obkladům podlah v exteriérech a interiérech, které jsou vystaveny povětrnostním vlivům a vysokému až extremnímu mechanickému namáhání, obrusu a znečištění</t>
  </si>
  <si>
    <t>98</t>
  </si>
  <si>
    <t>771575118R00</t>
  </si>
  <si>
    <t>Montáž podlah keram.,hladké, tmel, 60x60 cm</t>
  </si>
  <si>
    <t>99</t>
  </si>
  <si>
    <t>597642070</t>
  </si>
  <si>
    <t>Keramická dlažba 600 x 600 x 10 mm barva dle stávající dlažby v m.č. 1.02 - šatna a 1.09 - odpočívárna</t>
  </si>
  <si>
    <t>100</t>
  </si>
  <si>
    <t>771575105R00</t>
  </si>
  <si>
    <t>Montáž podlah keram.,režné hladké, tmel, 15x15 cm</t>
  </si>
  <si>
    <t>spára 5/</t>
  </si>
  <si>
    <t>101</t>
  </si>
  <si>
    <t>597642020</t>
  </si>
  <si>
    <t>Keramická dlažba 150 x 150 x 9 mm barva dle stávající dlažby v m.č. 1.05 - sprchy a 1.07 - chodba + sprchy</t>
  </si>
  <si>
    <t>102</t>
  </si>
  <si>
    <t>771411043R00</t>
  </si>
  <si>
    <t>Obklad soklíků s požlábkem porovinových 15x15 cm</t>
  </si>
  <si>
    <t>103</t>
  </si>
  <si>
    <t>597623184</t>
  </si>
  <si>
    <t>Sokl s požlábkem 200 x 200 mm protiskluzový</t>
  </si>
  <si>
    <t>glazované hutné keramické dlaždic</t>
  </si>
  <si>
    <t>104</t>
  </si>
  <si>
    <t>777531024R00</t>
  </si>
  <si>
    <t>Vyrovnání podlah, samonivel. hmota Rovinal tl.4 mm</t>
  </si>
  <si>
    <t>777_</t>
  </si>
  <si>
    <t>Včetně penetrace podkladu. Jednosložková samonivelační podlahová hmota k vyrovnání podkladů v interiéru. Není určena ke konečné povrchové úpravě.</t>
  </si>
  <si>
    <t>105</t>
  </si>
  <si>
    <t>781475120R00</t>
  </si>
  <si>
    <t>Obklad vnitřní stěn keramický, do tmele, 30 x 60 cm</t>
  </si>
  <si>
    <t>781_</t>
  </si>
  <si>
    <t>78_</t>
  </si>
  <si>
    <t>(spára 10/12 mm</t>
  </si>
  <si>
    <t>106</t>
  </si>
  <si>
    <t>59761001</t>
  </si>
  <si>
    <t>Keramický obklad 300 x 600 mm dle výběru investora</t>
  </si>
  <si>
    <t>107</t>
  </si>
  <si>
    <t>781101111R00</t>
  </si>
  <si>
    <t>Vyrovnání podkladu maltou ze SMS tl. do 7 mm, očištění a vyrovnání zdiva po odstranění ker. obkladu</t>
  </si>
  <si>
    <t>Položka obsahuje očištění podkladu od nepřídržných částic, rozmíchání suché směsi s vodou, nanesení na stěnu a vyhlazení, uklizení odpadu. Položka neobsahuje žádný materiál.</t>
  </si>
  <si>
    <t>108</t>
  </si>
  <si>
    <t>781415014R00</t>
  </si>
  <si>
    <t>Montáž obkladů stěn, porovin., do tmele, 20x10 cm</t>
  </si>
  <si>
    <t>109</t>
  </si>
  <si>
    <t>597813605</t>
  </si>
  <si>
    <t>podobná položka - obklad béžový 200x100mm</t>
  </si>
  <si>
    <t>glazované keramické obkladové prvk</t>
  </si>
  <si>
    <t>110</t>
  </si>
  <si>
    <t>781415015R00</t>
  </si>
  <si>
    <t>Montáž obkladů stěn, porovin.,tmel, 20x20,30x15 cm</t>
  </si>
  <si>
    <t>111</t>
  </si>
  <si>
    <t>597813615</t>
  </si>
  <si>
    <t>Obkládačka 200 x 200 mm světle modrá dle stávajícího obkladu v m.č. 1.07</t>
  </si>
  <si>
    <t>112</t>
  </si>
  <si>
    <t>113</t>
  </si>
  <si>
    <t>59761002</t>
  </si>
  <si>
    <t>Keramický  obklad 600 x 300 mm barva zelená olivová</t>
  </si>
  <si>
    <t>114</t>
  </si>
  <si>
    <t>783222100R00</t>
  </si>
  <si>
    <t>Nátěr syntetický kovových konstrukcí dvojnásobný</t>
  </si>
  <si>
    <t>783_</t>
  </si>
  <si>
    <t>115</t>
  </si>
  <si>
    <t>783226100R00</t>
  </si>
  <si>
    <t>Nátěr syntetický kovových konstrukcí základní</t>
  </si>
  <si>
    <t>116</t>
  </si>
  <si>
    <t>783626700R00</t>
  </si>
  <si>
    <t>Nátěr lazurovací truhlář. výrobků  + 2x lak akrylátový</t>
  </si>
  <si>
    <t>Lak akrylátový, napuštění a dvakrát lakování</t>
  </si>
  <si>
    <t>117</t>
  </si>
  <si>
    <t>944946111R00</t>
  </si>
  <si>
    <t>Textílie ochranná před propadem suti z lešení- montáž - podobná položka - ochrana podlah proti poškození geotextilií (500 g/m2)</t>
  </si>
  <si>
    <t>94_</t>
  </si>
  <si>
    <t>9_</t>
  </si>
  <si>
    <t>118</t>
  </si>
  <si>
    <t>sauna</t>
  </si>
  <si>
    <t>Dodávka a montáž sauny - popis sauny viz. technická zpráva</t>
  </si>
  <si>
    <t>95_</t>
  </si>
  <si>
    <t>Náklady na dodávky kovových předmětů se oceňují ve specifikaci. Ztratné se nestanoví.</t>
  </si>
  <si>
    <t>119</t>
  </si>
  <si>
    <t>dem-sauna</t>
  </si>
  <si>
    <t>Demontáž stávající sauny</t>
  </si>
  <si>
    <t>120</t>
  </si>
  <si>
    <t>953981106R00</t>
  </si>
  <si>
    <t>Chemické kotvy do betonu, hl. 210 mm, M 12, ampule</t>
  </si>
  <si>
    <t>121</t>
  </si>
  <si>
    <t>31179127</t>
  </si>
  <si>
    <t>Tyč závitová M12, DIN 975, poz.</t>
  </si>
  <si>
    <t>122</t>
  </si>
  <si>
    <t>311110190000</t>
  </si>
  <si>
    <t>Matka M12 + podložky</t>
  </si>
  <si>
    <t>123</t>
  </si>
  <si>
    <t>953943111R00</t>
  </si>
  <si>
    <t>Osazení kovových předmětů do zdiva, 1 kg / kus - revizní nerezová dvířka</t>
  </si>
  <si>
    <t>Položka je určena pro osazování se zalitím maltou cementovou drobných kovových předmětů jinde neuvedených, bez dodání, do vynechaných či vysekaných kapes zdiva, se zajištěním polohy. Náklady na dodávky kovových předmětů se oceňují ve specifikaci. Ztratné se nestanoví.</t>
  </si>
  <si>
    <t>124</t>
  </si>
  <si>
    <t>553476537</t>
  </si>
  <si>
    <t>Dvířka revizní LIGHT 250 x 250 mm, nerez</t>
  </si>
  <si>
    <t xml:space="preserve">Nerezová revizní dvířka pro zakrytí revizních prvků, technických šachet, prostupů, otvorů  Parametry Materiál: Nerezový plech - broušený nerez Rozměr stavebního otvoru (šířka x výška): 25x25 cm Rozměr včetně rámu (šířka x výška): 29x29 cm Použití: Revizní dvířka Způsob otevírání: Na čtyřhran Tloušťka plechu dvířek: 0,6 mm Tloušťka plechu rámu: 0,8 mm  Popis Nerezová revizní dvířka LIGHT - 25x25 cm Revizní dvířka a rám jsou vyrobeny z nerezového plechu. . Otevírání revizních dvířek na čtyřhran. Použitý materiál – nerezový plech broušený, dvířka síla plechu 0,6 mm, rám síla plechu 0,8 mm Uváděný rozměr je světlost otvoru ve zdivu v pořadí šířka x výška. </t>
  </si>
  <si>
    <t>125</t>
  </si>
  <si>
    <t>553476534</t>
  </si>
  <si>
    <t>Dvířka revizní LIGHT 200 x 200 mm, nerez</t>
  </si>
  <si>
    <t xml:space="preserve">Nerezová revizní dvířka pro zakrytí revizních prvků, technických šachet, prostupů, otvorů  Parametry Materiál: Nerezový plech - broušený nerez Rozměr stavebního otvoru (šířka x výška): 20x20 cm Rozměr včetně rámu (šířka x výška): 24x24 cm Použití: Revizní dvířka Způsob otevírání: Na čtyřhran Tloušťka plechu dvířek: 0,6 mm Tloušťka plechu rámu: 0,8 mm  Popis Nerezová revizní dvířka LIGHT - 20x20 cm Revizní dvířka a rám jsou vyrobeny z nerezového plechu. . Otevírání revizních dvířek na čtyřhran. Použitý materiál – nerezový plech broušený, dvířka síla plechu 0,6 mm, rám síla plechu 0,8 mm Uváděný rozměr je světlost otvoru ve zdivu v pořadí šířka x výška. </t>
  </si>
  <si>
    <t>126</t>
  </si>
  <si>
    <t>965081713R00</t>
  </si>
  <si>
    <t>Bourání dlažeb keramických tl.10 mm, nad 1 m2</t>
  </si>
  <si>
    <t>96_</t>
  </si>
  <si>
    <t>V položce není kalkulována manipulace se sutí, která se oceňuje samostatně položkami souboru 979.  V položce nejsou zakalkulovány náklady na bourání podkladního lože pod dlažbou</t>
  </si>
  <si>
    <t>127</t>
  </si>
  <si>
    <t>968061125R00</t>
  </si>
  <si>
    <t>Vyvěšení dřevěných dveřních křídel pl. do 2 m2</t>
  </si>
  <si>
    <t>Položka obsahuje náklady na vyvěšení křídel, jejich uložení a zpětné zavěšení po provedených stavebních úpravách. Položka se používá i pro vyvěšení křídel určených k likvidaci</t>
  </si>
  <si>
    <t>128</t>
  </si>
  <si>
    <t>968072455R00</t>
  </si>
  <si>
    <t>Vybourání kovových dveřních zárubní pl. do 2 m2</t>
  </si>
  <si>
    <t>V položce není kalkulována manipulace se sutí, která se oceňuje samostatně položkami souboru 979. V položce není zakalkulováno vyvěšení dveřních křídel. Tyto práce se oceňují samostatně položkami souboru 968 06-11.. nebo 07-11.. Vyvěšení křídel.</t>
  </si>
  <si>
    <t>129</t>
  </si>
  <si>
    <t>967031741R01</t>
  </si>
  <si>
    <t>Přisekání plošné zdiva cihelného na MC tl. 5 cm - broušení stěn od staré lepící hmoty</t>
  </si>
  <si>
    <t>V položce není kalkulována manipulace se sutí, která se oceňuje samostatně položkami souboru 979.</t>
  </si>
  <si>
    <t>130</t>
  </si>
  <si>
    <t>968083002R00</t>
  </si>
  <si>
    <t>Vybourání plastových dveří do 2 m2</t>
  </si>
  <si>
    <t>V položce není kalkulována manipulace se sutí, která se oceňuje samostatně položkami souboru 979. V položce je zakalkulováno vybourání rámu a vyvěšení křídel. Položka je určena pro okna s dvojitým zasklením</t>
  </si>
  <si>
    <t>131</t>
  </si>
  <si>
    <t>962031123R00</t>
  </si>
  <si>
    <t>Bourání příček z cihel pálených děrovan. tl. 80 mm</t>
  </si>
  <si>
    <t>132</t>
  </si>
  <si>
    <t>978500010RA0</t>
  </si>
  <si>
    <t>Odsekání vnitřních obkladů</t>
  </si>
  <si>
    <t>97_</t>
  </si>
  <si>
    <t>V položce není kalkulován poplatek za skládku pro vybouranou suť. Tyto náklady se oceňují individuálně podle místních podmínek. Orientační hmotnost vybouraných konstrukcí je 0,068 t/m2 konstrukce</t>
  </si>
  <si>
    <t>133</t>
  </si>
  <si>
    <t>971033621R00</t>
  </si>
  <si>
    <t>Vybourání otv. zeď cihel. pl.4 m2, tl.10 cm, MVC</t>
  </si>
  <si>
    <t>V položce není kalkulována manipulace se sutí, která se oceňuje samostatně položkami souboru 979</t>
  </si>
  <si>
    <t>134</t>
  </si>
  <si>
    <t>974032664R00</t>
  </si>
  <si>
    <t>Vysekání rýh zeď duté cihly vtah. nosníků 15x15 cm</t>
  </si>
  <si>
    <t xml:space="preserve">V položce není kalkulována manipulace se sutí, která se oceňuje samostatně položkami souboru 979. </t>
  </si>
  <si>
    <t>135</t>
  </si>
  <si>
    <t>975032241R00</t>
  </si>
  <si>
    <t>Podchycení příček výztuhou do 3 m,zdi 15 cm do 3 m</t>
  </si>
  <si>
    <t>Položka platí pro dřevěné vyztužení příček uvedené výšky a délky podchycení</t>
  </si>
  <si>
    <t>136</t>
  </si>
  <si>
    <t>999281111R00</t>
  </si>
  <si>
    <t>Přesun hmot pro opravy a údržbu do výšky 25 m</t>
  </si>
  <si>
    <t>soub</t>
  </si>
  <si>
    <t>H99_</t>
  </si>
  <si>
    <t>137</t>
  </si>
  <si>
    <t>222</t>
  </si>
  <si>
    <t>Úprava stávajících rozvodů slaboproudých rozvodů</t>
  </si>
  <si>
    <t>M22_</t>
  </si>
  <si>
    <t>138</t>
  </si>
  <si>
    <t>650 01IM</t>
  </si>
  <si>
    <t>Demontáž svítidla stropního věstavěného</t>
  </si>
  <si>
    <t>M65_</t>
  </si>
  <si>
    <t>139</t>
  </si>
  <si>
    <t>650 02IM</t>
  </si>
  <si>
    <t>Demontáž svítidla stropního přisazeného</t>
  </si>
  <si>
    <t>140</t>
  </si>
  <si>
    <t>650 03IM</t>
  </si>
  <si>
    <t>Kabel CYKY-J 5x4</t>
  </si>
  <si>
    <t>141</t>
  </si>
  <si>
    <t>650 04IM</t>
  </si>
  <si>
    <t>Kabel CYKY-J 3x1,5</t>
  </si>
  <si>
    <t>142</t>
  </si>
  <si>
    <t>650 05IM</t>
  </si>
  <si>
    <t>Osvětlovací těleso - typ A (dle PD) o120 mm, výkon 6W LED - zapuštěné do SDK</t>
  </si>
  <si>
    <t>143</t>
  </si>
  <si>
    <t>650 06IM</t>
  </si>
  <si>
    <t>Osvětlovací těleso - typ B (dle PD) o170 mm, výkon 12W LED - zapuštěné do SDK</t>
  </si>
  <si>
    <t>144</t>
  </si>
  <si>
    <t>650 07IM</t>
  </si>
  <si>
    <t>Vypínač 230V/10A (řazení 1) , IP44 vč. připojení</t>
  </si>
  <si>
    <t>145</t>
  </si>
  <si>
    <t>650 08IM</t>
  </si>
  <si>
    <t>Montáž rozvodů pro osvětlení</t>
  </si>
  <si>
    <t>146</t>
  </si>
  <si>
    <t>650 09IM</t>
  </si>
  <si>
    <t>Montáž zapuštěného LED svítidla</t>
  </si>
  <si>
    <t>147</t>
  </si>
  <si>
    <t>650 10IM</t>
  </si>
  <si>
    <t>Dozbrojení rozvaděče Rs1-2 (1x jistič B3/16A)</t>
  </si>
  <si>
    <t>148</t>
  </si>
  <si>
    <t>650 11IM</t>
  </si>
  <si>
    <t>Dokumentace skutečného provedení</t>
  </si>
  <si>
    <t>149</t>
  </si>
  <si>
    <t>650 12IM</t>
  </si>
  <si>
    <t>Revize elektro</t>
  </si>
  <si>
    <t>150</t>
  </si>
  <si>
    <t>979082111R00</t>
  </si>
  <si>
    <t>Vnitrostaveništní doprava suti do 10 m</t>
  </si>
  <si>
    <t>S_</t>
  </si>
  <si>
    <t>Včetně případného složení na staveništní deponii</t>
  </si>
  <si>
    <t>151</t>
  </si>
  <si>
    <t>979082121R00</t>
  </si>
  <si>
    <t>Příplatek k vnitrost. dopravě suti za dalších 5 m (celkem 50m)</t>
  </si>
  <si>
    <t>152</t>
  </si>
  <si>
    <t>979990101R00</t>
  </si>
  <si>
    <t>Poplatek za skládku</t>
  </si>
  <si>
    <t>153</t>
  </si>
  <si>
    <t>979081111R00</t>
  </si>
  <si>
    <t>Odvoz suti a vybour. hmot na skládku do 1 km</t>
  </si>
  <si>
    <t>154</t>
  </si>
  <si>
    <t>979081121R00</t>
  </si>
  <si>
    <t>Příplatek k odvozu za každý další 1 km (celkem 30km)</t>
  </si>
  <si>
    <t>155</t>
  </si>
  <si>
    <t>979999997R00</t>
  </si>
  <si>
    <t>Poplatek za recyklaci směsi suti betonu, cihel, tašek a keram.výrobků, kusovost do 1600 cm2 (170107)</t>
  </si>
  <si>
    <t>156</t>
  </si>
  <si>
    <t>979990161R00</t>
  </si>
  <si>
    <t>Poplatek za uložení - dřevo, skupina odpadu 170201</t>
  </si>
  <si>
    <t>157</t>
  </si>
  <si>
    <t>01VRN</t>
  </si>
  <si>
    <t>Průzkumné práce a odpojení sítí</t>
  </si>
  <si>
    <t>Soubor</t>
  </si>
  <si>
    <t>03VRN_</t>
  </si>
  <si>
    <t>Â _</t>
  </si>
  <si>
    <t>Obsahuje odpojení veškerých dotčených sítí, zejména vnitřních rozvodů elektro a vody, před zahájením bouracích prací a průzkum potvrzující, že je tak učiněno. Rozvody ve zbytku budovy, mimo prostor předaného staveniště, musí zůstat plně funkční.</t>
  </si>
  <si>
    <t>158</t>
  </si>
  <si>
    <t>02VRN</t>
  </si>
  <si>
    <t>Čistý úklid</t>
  </si>
  <si>
    <t>Jedná se o čistý úklid tj. úklid umožňující okamžité zahájení provozu - zahrnuje mytí oken vč. rámů, dokonalé vytření podlah v kvalitě = čistota po provedení běžného úklidu vytíráním, čisté hrany, lišty obkladů, parapety apod., čistá a nezaprášená světla, apod.</t>
  </si>
  <si>
    <t>159</t>
  </si>
  <si>
    <t>Dokumentace skutečného provedení stavby a označení přípojek (rozvodů)</t>
  </si>
  <si>
    <t>Jedná se o zakreslení změn do projektové dokumentace pro provedení stavby 2x v tištěné podobě, v případě významnějších změn i v digitálně. Veškeré uzávěry a další důležité uzly instalivaných rozvodů budou popsány jak na místě stavby, tak shodně v PD skutečného provedení stavby.</t>
  </si>
  <si>
    <t>160</t>
  </si>
  <si>
    <t>04VRN</t>
  </si>
  <si>
    <t>Plán BOZP na staveništi - předání rizik zhotovitele a subdodavatelů pro zpracování plánu BOZP</t>
  </si>
  <si>
    <t>Předání rizik zhotovitele a subdodavatelů KooBOZP, kterého samostatně objednává objednatel, pro zpracování Plánu BOZP. Další veškeré náklady na BOZP, které zhotoviteli vzniknou v souvislosti s platnými předpisy v oblasti BOZP a ujednánímiv SOD - ochranné pomůcky, prevence BOZP, spolupráce s KooBOZP objednatele apod.</t>
  </si>
  <si>
    <t>161</t>
  </si>
  <si>
    <t>05VRN</t>
  </si>
  <si>
    <t>Plán zkoušek</t>
  </si>
  <si>
    <t>Vypracování a předání kontrolního a zkušebního plánu a provedení zkoušek dle požadavků smlouvy o dílo jinde neuvedených.</t>
  </si>
  <si>
    <t>162</t>
  </si>
  <si>
    <t>06VRN</t>
  </si>
  <si>
    <t>Zpracování a průběžná aktualizace harmonogramu prací</t>
  </si>
  <si>
    <t>163</t>
  </si>
  <si>
    <t>07VRN</t>
  </si>
  <si>
    <t>Předání dalších dokladů dle bodu 5.4 Smlouvy o dílo, jinde neoceněných</t>
  </si>
  <si>
    <t>Vč. nákladů na zajištění elektronické verze, nebo vícetisků, popř. nákladů na průběžné předkládání těchto dokladů TDS průběžně během výstavby, dle požedavků SOD.</t>
  </si>
  <si>
    <t>164</t>
  </si>
  <si>
    <t>08VRN</t>
  </si>
  <si>
    <t>Dokumentace (pasportizace) dotčeného objektu, před zahájením prací</t>
  </si>
  <si>
    <t>Pasportizace dotčené části objektu, vč. přístupových tras a vč. dokumentace technického stavu vybavení na předaném staveništi, žaluzií, oken, parapetů, ponechávaných světel, podlahových krytin, vč. jejich ukončení u stěn, radiátorů a rozvodů UT (technická zpráva, video či fotodokumentace, popř. zákresy, forma jako u znaleckého posudku, ale nemusí vyhotovovat soudní znalec) před zahájením stavby a sledování vlivů stavby na objekt a jeho vybavení. Předání 3x na elektronickém nosiči.</t>
  </si>
  <si>
    <t>165</t>
  </si>
  <si>
    <t>09VRN</t>
  </si>
  <si>
    <t>Provoz investora, třetích osob</t>
  </si>
  <si>
    <t>Jedná se o omezení stavby vlivem provádění prací v budově, v jejichž dalších částech probíhá běžný provoz, který nesmí být narušen a omezen.</t>
  </si>
  <si>
    <t>166</t>
  </si>
  <si>
    <t>10VRN</t>
  </si>
  <si>
    <t>Náklady na zaškolení</t>
  </si>
  <si>
    <t>Zaškolení obsluhy provozovatele objektu na všechna instalovaná zařízení, vč. vydání příslušných osvědčení a návodů k obsluze. Zaškolení do 2 osob pro každé zařízení, tyto osoby mohou být pro každé zařízení rozdílné. Návod k obsluze bude předán i ke stavbě jako celku - např. údaje, jak udžovat podlahy, dveře, instalované rozvody a atd.</t>
  </si>
  <si>
    <t>167</t>
  </si>
  <si>
    <t>11VRN</t>
  </si>
  <si>
    <t>Zařízení staveniště - příprava, zařízení, provoz a zrušení zařízení staveniště</t>
  </si>
  <si>
    <t>Např. náklady na provoz a údržbu vybavení staveniště, vč. stavebních buněk, sociálního zázemí, deponií a mezideponií, připojení na energie, úhrady energií, umístění informačních tabulí (info o stavbě, vyvěšení ohlášení na OIP), zajištění zuázemí pro stavbyvedoucího a pracovní tým zhotovitele, přístup ke stavebnímu deníku, rozebrání, bourání a odvoz zařízení staveniště</t>
  </si>
  <si>
    <t>K. K. - 1/2" s vypouštěním</t>
  </si>
  <si>
    <t>K. K. - 1" s vypouštěním</t>
  </si>
  <si>
    <t>Dvířka revizní  250 x 250 mm, nerez</t>
  </si>
  <si>
    <t>Dvířka revizní  200 x 200 mm, nerez</t>
  </si>
  <si>
    <t xml:space="preserve">Položka obsahuje jednonásobnou penetraci podkladu hmotou, rozmíchání suché směsi S vodou podle receptury výrobce a rozprostření směsi. </t>
  </si>
  <si>
    <t>Podlahová vpust DN50</t>
  </si>
  <si>
    <t>Podlahová vpust DN70</t>
  </si>
  <si>
    <t>Přivzdušňovací ventil</t>
  </si>
  <si>
    <t>Vodovodní potrubí - PP-RCT S4 trubka DN15 (20/2,3)</t>
  </si>
  <si>
    <t>Vodovodní potrubí - PP-RCT S4 trubka DN20 (25/2,8)</t>
  </si>
  <si>
    <t>Vodovodní potrubí - PP-RCT S4 trubka DN25 (32/3,6)</t>
  </si>
  <si>
    <t>Vodovodní potrubí - PP-RCT S4 Tvarovky, fitinky, zástřiky, přechody</t>
  </si>
  <si>
    <t>Potrubní izolace polyethylenová, síla stěny 13mm 20 x 13</t>
  </si>
  <si>
    <t>Potrubní izolace polyethylenová, síla stěny 13mm 25 x 13</t>
  </si>
  <si>
    <t>Potrubní izolace polyethylenová, síla stěny 13mm 32 x 13</t>
  </si>
  <si>
    <t>Potrubní izolace polyethylenová, síla stěny 30mm 22 x 30</t>
  </si>
  <si>
    <t>Potrubní izolace polyethylenová, síla stěny 30mm 35 x 30</t>
  </si>
  <si>
    <t>Kruhové potrubí, pr.200mm vč tvarovek</t>
  </si>
  <si>
    <t>Kruhové potrubí, pr.160mm vč tvarovek</t>
  </si>
  <si>
    <t>Kruhové potrubí, pr.100mm vč tvarovek</t>
  </si>
  <si>
    <t>Dveře  plastové 1křídlové 750x2100 osazení a dodávka - dveře D3 - viz D.1.1.2.04 - Výpis prvků</t>
  </si>
  <si>
    <t>Položka je určena pro montáž podhledů z kazet 600 x 600 mm. V položce jsou zakalkulovány náklady na: - montáž a dodávku kazet.  Označení SK, VT vyjadřuje způsob uložení kazet na rošt SK - hrana kazety je v úrovni roštu VT - hrana kazety je pod úrovní roštu</t>
  </si>
  <si>
    <t>Vyrovnání podlah, samonivel. hmota tl.4 mm</t>
  </si>
  <si>
    <t>Dodávka a montáž sauny vč. zastropení, topidla, tepelné izolace, parozábrany - popis sauny viz. technická zpráva</t>
  </si>
  <si>
    <t xml:space="preserve">Nerezová revizní dvířka pro zakrytí revizních prvků, technických šachet, prostupů, otvorů  Parametry Materiál: Nerezový plech - broušený nerez Rozměr stavebního otvoru (šířka x výška): 25x25 cm Rozměr včetně rámu (šířka x výška): 29x29 cm Použití: Revizní dvířka Způsob otevírání: Na čtyřhran Tloušťka plechu dvířek: 0,6 mm Tloušťka plechu rámu: 0,8 mm  Popis Nerezová revizní dvířka - 25x25 cm Revizní dvířka a rám jsou vyrobeny z nerezového plechu. Otevírání revizních dvířek na čtyřhran. Použitý materiál – nerezový plech broušený, dvířka síla plechu 0,6 mm, rám síla plechu 0,8 mm Uváděný rozměr je světlost otvoru ve zdivu v pořadí šířka x výška. </t>
  </si>
  <si>
    <t xml:space="preserve">Nerezová revizní dvířka pro zakrytí revizních prvků, technických šachet, prostupů, otvorů  Parametry Materiál: Nerezový plech - broušený nerez Rozměr stavebního otvoru (šířka x výška): 20x20 cm Rozměr včetně rámu (šířka x výška): 24x24 cm Použití: Revizní dvířka Způsob otevírání: Na čtyřhran Tloušťka plechu dvířek: 0,6 mm Tloušťka plechu rámu: 0,8 mm  Popis Nerezová revizní dvířka - 20x20 cm Revizní dvířka a rám jsou vyrobeny z nerezového plechu. Otevírání revizních dvířek na čtyřhran. Použitý materiál – nerezový plech broušený, dvířka síla plechu 0,6 mm, rám síla plechu 0,8 mm Uváděný rozměr je světlost otvoru ve zdivu v pořadí šířka x výška. </t>
  </si>
  <si>
    <t xml:space="preserve">V položce jsou zakalkulovány i naklady na vyvrtání děr, osazení svorníků a dotažení rektifikačních článků.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</si>
</sst>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Calibri"/>
      <charset val="1"/>
    </font>
    <font>
      <sz val="18"/>
      <color rgb="FF000000"/>
      <name val="Arial"/>
      <charset val="238"/>
    </font>
    <font>
      <sz val="10"/>
      <color rgb="FF000000"/>
      <name val="Arial"/>
      <charset val="238"/>
    </font>
    <font>
      <b/>
      <sz val="10"/>
      <color rgb="FF000000"/>
      <name val="Arial"/>
      <charset val="238"/>
    </font>
    <font>
      <b/>
      <sz val="18"/>
      <color rgb="FF000000"/>
      <name val="Arial"/>
      <charset val="238"/>
    </font>
    <font>
      <b/>
      <sz val="20"/>
      <color rgb="FF000000"/>
      <name val="Arial"/>
      <charset val="238"/>
    </font>
    <font>
      <b/>
      <sz val="11"/>
      <color rgb="FF000000"/>
      <name val="Arial"/>
      <charset val="238"/>
    </font>
    <font>
      <b/>
      <sz val="12"/>
      <color rgb="FF000000"/>
      <name val="Arial"/>
      <charset val="238"/>
    </font>
    <font>
      <sz val="12"/>
      <color rgb="FF000000"/>
      <name val="Arial"/>
      <charset val="238"/>
    </font>
    <font>
      <i/>
      <sz val="8"/>
      <color rgb="FF000000"/>
      <name val="Arial"/>
      <charset val="238"/>
    </font>
    <font>
      <i/>
      <sz val="10"/>
      <color rgb="FF000000"/>
      <name val="Arial"/>
      <charset val="238"/>
    </font>
  </fonts>
  <fills count="6">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rgb="FFCCFFFF"/>
        <bgColor rgb="FFCCFFFF"/>
      </patternFill>
    </fill>
    <fill>
      <patternFill patternType="solid">
        <fgColor theme="0" tint="-0.249977111117893"/>
        <bgColor rgb="FFCCFFFF"/>
      </patternFill>
    </fill>
  </fills>
  <borders count="7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top/>
      <bottom style="thin">
        <color rgb="FF000000"/>
      </bottom>
      <diagonal/>
    </border>
    <border>
      <left/>
      <right style="thin">
        <color rgb="FF000000"/>
      </right>
      <top/>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bottom style="medium">
        <color rgb="FF000000"/>
      </bottom>
      <diagonal/>
    </border>
    <border>
      <left/>
      <right/>
      <top style="thin">
        <color rgb="FF000000"/>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diagonal/>
    </border>
    <border>
      <left/>
      <right/>
      <top/>
      <bottom/>
      <diagonal/>
    </border>
  </borders>
  <cellStyleXfs count="1">
    <xf numFmtId="0" fontId="0" fillId="0" borderId="0"/>
  </cellStyleXfs>
  <cellXfs count="175">
    <xf numFmtId="0" fontId="0" fillId="0" borderId="0" xfId="0"/>
    <xf numFmtId="0" fontId="2" fillId="0" borderId="5" xfId="0" applyFont="1" applyBorder="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4" fontId="2" fillId="0" borderId="17" xfId="0" applyNumberFormat="1" applyFont="1" applyBorder="1" applyAlignment="1">
      <alignment horizontal="right" vertical="center"/>
    </xf>
    <xf numFmtId="0" fontId="2" fillId="0" borderId="0" xfId="0" applyFont="1" applyAlignment="1">
      <alignment horizontal="right" vertical="center"/>
    </xf>
    <xf numFmtId="4" fontId="2" fillId="0" borderId="0" xfId="0" applyNumberFormat="1" applyFont="1" applyAlignment="1">
      <alignment horizontal="right" vertical="center"/>
    </xf>
    <xf numFmtId="4" fontId="3" fillId="0" borderId="0" xfId="0" applyNumberFormat="1" applyFont="1" applyAlignment="1">
      <alignment horizontal="right" vertical="center"/>
    </xf>
    <xf numFmtId="0" fontId="5" fillId="2" borderId="21" xfId="0" applyFont="1" applyFill="1" applyBorder="1" applyAlignment="1">
      <alignment horizontal="center" vertical="center"/>
    </xf>
    <xf numFmtId="0" fontId="5" fillId="2" borderId="24" xfId="0" applyFont="1" applyFill="1" applyBorder="1" applyAlignment="1">
      <alignment horizontal="center" vertical="center"/>
    </xf>
    <xf numFmtId="0" fontId="7" fillId="0" borderId="25" xfId="0" applyFont="1" applyBorder="1" applyAlignment="1">
      <alignment horizontal="left" vertical="center"/>
    </xf>
    <xf numFmtId="0" fontId="8" fillId="0" borderId="26" xfId="0" applyFont="1" applyBorder="1" applyAlignment="1">
      <alignment horizontal="left" vertical="center"/>
    </xf>
    <xf numFmtId="4" fontId="8" fillId="0" borderId="26" xfId="0" applyNumberFormat="1" applyFont="1" applyBorder="1" applyAlignment="1">
      <alignment horizontal="right" vertical="center"/>
    </xf>
    <xf numFmtId="0" fontId="8" fillId="0" borderId="26" xfId="0" applyFont="1" applyBorder="1" applyAlignment="1">
      <alignment horizontal="right" vertical="center"/>
    </xf>
    <xf numFmtId="0" fontId="7" fillId="0" borderId="29" xfId="0" applyFont="1" applyBorder="1" applyAlignment="1">
      <alignment horizontal="left" vertical="center"/>
    </xf>
    <xf numFmtId="4" fontId="8" fillId="0" borderId="33" xfId="0" applyNumberFormat="1" applyFont="1" applyBorder="1" applyAlignment="1">
      <alignment horizontal="right" vertical="center"/>
    </xf>
    <xf numFmtId="0" fontId="8" fillId="0" borderId="33" xfId="0" applyFont="1" applyBorder="1" applyAlignment="1">
      <alignment horizontal="right" vertical="center"/>
    </xf>
    <xf numFmtId="4" fontId="8" fillId="0" borderId="24" xfId="0" applyNumberFormat="1" applyFont="1" applyBorder="1" applyAlignment="1">
      <alignment horizontal="right" vertical="center"/>
    </xf>
    <xf numFmtId="4" fontId="8" fillId="0" borderId="36" xfId="0" applyNumberFormat="1" applyFont="1" applyBorder="1" applyAlignment="1">
      <alignment horizontal="right" vertical="center"/>
    </xf>
    <xf numFmtId="4" fontId="7" fillId="2" borderId="23" xfId="0" applyNumberFormat="1" applyFont="1" applyFill="1" applyBorder="1" applyAlignment="1">
      <alignment horizontal="right" vertical="center"/>
    </xf>
    <xf numFmtId="4" fontId="7" fillId="2" borderId="28" xfId="0" applyNumberFormat="1" applyFont="1" applyFill="1" applyBorder="1" applyAlignment="1">
      <alignment horizontal="right" vertical="center"/>
    </xf>
    <xf numFmtId="0" fontId="9" fillId="0" borderId="17" xfId="0" applyFont="1" applyBorder="1" applyAlignment="1">
      <alignment horizontal="left" vertical="center"/>
    </xf>
    <xf numFmtId="0" fontId="3" fillId="0" borderId="53" xfId="0" applyFont="1" applyBorder="1" applyAlignment="1">
      <alignment horizontal="right" vertical="center"/>
    </xf>
    <xf numFmtId="4" fontId="2" fillId="0" borderId="26" xfId="0" applyNumberFormat="1" applyFont="1" applyBorder="1" applyAlignment="1">
      <alignment horizontal="right" vertical="center"/>
    </xf>
    <xf numFmtId="0" fontId="2" fillId="0" borderId="26" xfId="0" applyFont="1" applyBorder="1" applyAlignment="1">
      <alignment horizontal="left" vertical="center"/>
    </xf>
    <xf numFmtId="4" fontId="2" fillId="0" borderId="57" xfId="0" applyNumberFormat="1" applyFont="1" applyBorder="1" applyAlignment="1">
      <alignment horizontal="right" vertical="center"/>
    </xf>
    <xf numFmtId="0" fontId="2" fillId="0" borderId="57" xfId="0" applyFont="1" applyBorder="1" applyAlignment="1">
      <alignment horizontal="left" vertical="center"/>
    </xf>
    <xf numFmtId="0" fontId="3" fillId="0" borderId="61" xfId="0" applyFont="1" applyBorder="1" applyAlignment="1">
      <alignment horizontal="left" vertical="center"/>
    </xf>
    <xf numFmtId="0" fontId="3" fillId="0" borderId="61" xfId="0" applyFont="1" applyBorder="1" applyAlignment="1">
      <alignment horizontal="right" vertical="center"/>
    </xf>
    <xf numFmtId="4" fontId="3" fillId="0" borderId="61" xfId="0" applyNumberFormat="1" applyFont="1" applyBorder="1" applyAlignment="1">
      <alignment horizontal="right" vertical="center"/>
    </xf>
    <xf numFmtId="4" fontId="3" fillId="2" borderId="0" xfId="0" applyNumberFormat="1" applyFont="1" applyFill="1" applyAlignment="1">
      <alignment horizontal="righ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4" xfId="0" applyFont="1" applyBorder="1" applyAlignment="1">
      <alignment horizontal="center" vertical="center"/>
    </xf>
    <xf numFmtId="0" fontId="3" fillId="3" borderId="67" xfId="0" applyFont="1" applyFill="1" applyBorder="1" applyAlignment="1" applyProtection="1">
      <alignment horizontal="center" vertical="center"/>
      <protection locked="0"/>
    </xf>
    <xf numFmtId="0" fontId="3" fillId="2" borderId="0" xfId="0" applyFont="1" applyFill="1" applyAlignment="1">
      <alignment horizontal="right" vertical="center"/>
    </xf>
    <xf numFmtId="0" fontId="3" fillId="0" borderId="0" xfId="0" applyFont="1" applyAlignment="1">
      <alignment horizontal="right" vertical="center"/>
    </xf>
    <xf numFmtId="0" fontId="2" fillId="0" borderId="69" xfId="0" applyFont="1" applyBorder="1" applyAlignment="1">
      <alignment horizontal="left" vertical="center"/>
    </xf>
    <xf numFmtId="0" fontId="2" fillId="0" borderId="70" xfId="0" applyFont="1" applyBorder="1" applyAlignment="1">
      <alignment horizontal="left" vertical="center"/>
    </xf>
    <xf numFmtId="0" fontId="3" fillId="3" borderId="73" xfId="0" applyFont="1" applyFill="1" applyBorder="1" applyAlignment="1" applyProtection="1">
      <alignment horizontal="center" vertical="center"/>
      <protection locked="0"/>
    </xf>
    <xf numFmtId="0" fontId="3" fillId="0" borderId="74" xfId="0" applyFont="1" applyBorder="1" applyAlignment="1">
      <alignment horizontal="center" vertical="center"/>
    </xf>
    <xf numFmtId="0" fontId="3" fillId="0" borderId="36" xfId="0" applyFont="1" applyBorder="1" applyAlignment="1">
      <alignment horizontal="center" vertical="center"/>
    </xf>
    <xf numFmtId="0" fontId="2" fillId="2" borderId="16" xfId="0" applyFont="1" applyFill="1" applyBorder="1" applyAlignment="1">
      <alignment horizontal="left" vertical="center"/>
    </xf>
    <xf numFmtId="0" fontId="3" fillId="2" borderId="17" xfId="0" applyFont="1" applyFill="1" applyBorder="1" applyAlignment="1">
      <alignment horizontal="left" vertical="center"/>
    </xf>
    <xf numFmtId="0" fontId="2" fillId="2" borderId="17" xfId="0" applyFont="1" applyFill="1" applyBorder="1" applyAlignment="1">
      <alignment horizontal="left" vertical="center"/>
    </xf>
    <xf numFmtId="4" fontId="3" fillId="2" borderId="17" xfId="0" applyNumberFormat="1" applyFont="1" applyFill="1" applyBorder="1" applyAlignment="1">
      <alignment horizontal="right" vertical="center"/>
    </xf>
    <xf numFmtId="4" fontId="3" fillId="2" borderId="75" xfId="0" applyNumberFormat="1" applyFont="1" applyFill="1" applyBorder="1" applyAlignment="1">
      <alignment horizontal="right" vertical="center"/>
    </xf>
    <xf numFmtId="4" fontId="2" fillId="3" borderId="0" xfId="0" applyNumberFormat="1" applyFont="1" applyFill="1" applyAlignment="1" applyProtection="1">
      <alignment horizontal="right" vertical="center"/>
      <protection locked="0"/>
    </xf>
    <xf numFmtId="4" fontId="2" fillId="0" borderId="6" xfId="0" applyNumberFormat="1" applyFont="1" applyBorder="1" applyAlignment="1">
      <alignment horizontal="right" vertical="center"/>
    </xf>
    <xf numFmtId="0" fontId="0" fillId="0" borderId="5" xfId="0" applyBorder="1"/>
    <xf numFmtId="0" fontId="10" fillId="0" borderId="0" xfId="0" applyFont="1" applyAlignment="1">
      <alignment horizontal="right" vertical="center"/>
    </xf>
    <xf numFmtId="0" fontId="10" fillId="0" borderId="0" xfId="0" applyFont="1" applyAlignment="1">
      <alignment horizontal="left" vertical="center" wrapText="1"/>
    </xf>
    <xf numFmtId="0" fontId="2" fillId="2" borderId="5" xfId="0" applyFont="1" applyFill="1" applyBorder="1" applyAlignment="1">
      <alignment horizontal="left" vertical="center"/>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pplyProtection="1">
      <alignment horizontal="left" vertical="center"/>
      <protection locked="0"/>
    </xf>
    <xf numFmtId="4" fontId="3" fillId="2" borderId="6" xfId="0" applyNumberFormat="1" applyFont="1" applyFill="1" applyBorder="1" applyAlignment="1">
      <alignment horizontal="right" vertical="center"/>
    </xf>
    <xf numFmtId="0" fontId="0" fillId="0" borderId="18" xfId="0" applyBorder="1"/>
    <xf numFmtId="0" fontId="10" fillId="0" borderId="9" xfId="0" applyFont="1" applyBorder="1" applyAlignment="1">
      <alignment horizontal="right" vertical="center"/>
    </xf>
    <xf numFmtId="4" fontId="3" fillId="0" borderId="76" xfId="0" applyNumberFormat="1" applyFont="1" applyBorder="1" applyAlignment="1">
      <alignment horizontal="right" vertical="center"/>
    </xf>
    <xf numFmtId="0" fontId="9" fillId="0" borderId="0" xfId="0" applyFont="1" applyAlignment="1">
      <alignment horizontal="left" vertical="center"/>
    </xf>
    <xf numFmtId="0" fontId="2" fillId="5" borderId="0" xfId="0" applyFont="1" applyFill="1" applyAlignment="1" applyProtection="1">
      <alignment horizontal="left" vertical="center"/>
      <protection locked="0"/>
    </xf>
    <xf numFmtId="0" fontId="2" fillId="5" borderId="17" xfId="0" applyFont="1" applyFill="1" applyBorder="1" applyAlignment="1" applyProtection="1">
      <alignment horizontal="left" vertical="center"/>
      <protection locked="0"/>
    </xf>
    <xf numFmtId="0" fontId="1"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10" xfId="0" applyFont="1" applyBorder="1" applyAlignment="1">
      <alignment horizontal="left" vertical="center"/>
    </xf>
    <xf numFmtId="0" fontId="1" fillId="0" borderId="1" xfId="0" applyFont="1" applyBorder="1" applyAlignment="1">
      <alignment horizontal="center" vertical="center" wrapText="1"/>
    </xf>
    <xf numFmtId="0" fontId="2" fillId="0" borderId="4" xfId="0" applyFont="1" applyBorder="1" applyAlignment="1">
      <alignment horizontal="left" vertical="center"/>
    </xf>
    <xf numFmtId="1" fontId="2" fillId="0" borderId="6" xfId="0" applyNumberFormat="1" applyFont="1" applyBorder="1" applyAlignment="1">
      <alignment horizontal="left" vertical="center"/>
    </xf>
    <xf numFmtId="0" fontId="3" fillId="0" borderId="3" xfId="0" applyFont="1" applyBorder="1" applyAlignment="1">
      <alignment horizontal="left" vertical="center"/>
    </xf>
    <xf numFmtId="0" fontId="2" fillId="0" borderId="19" xfId="0" applyFont="1" applyBorder="1" applyAlignment="1">
      <alignment horizontal="left" vertical="center"/>
    </xf>
    <xf numFmtId="0" fontId="4" fillId="0" borderId="20" xfId="0" applyFont="1" applyBorder="1" applyAlignment="1">
      <alignment horizontal="center"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2" fillId="0" borderId="18" xfId="0" applyFont="1" applyBorder="1" applyAlignment="1">
      <alignment horizontal="left" vertical="center"/>
    </xf>
    <xf numFmtId="0" fontId="7" fillId="0" borderId="30" xfId="0" applyFont="1" applyBorder="1" applyAlignment="1">
      <alignment horizontal="left" vertical="center"/>
    </xf>
    <xf numFmtId="0" fontId="7" fillId="0" borderId="28"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5" xfId="0" applyFont="1" applyBorder="1" applyAlignment="1">
      <alignment horizontal="left" vertical="center"/>
    </xf>
    <xf numFmtId="0" fontId="7" fillId="0" borderId="23"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4" xfId="0" applyFont="1" applyBorder="1" applyAlignment="1">
      <alignment horizontal="left" vertical="center"/>
    </xf>
    <xf numFmtId="0" fontId="8" fillId="0" borderId="32" xfId="0" applyFont="1" applyBorder="1" applyAlignment="1">
      <alignment horizontal="left" vertical="center"/>
    </xf>
    <xf numFmtId="0" fontId="7" fillId="0" borderId="22" xfId="0" applyFont="1" applyBorder="1" applyAlignment="1">
      <alignment horizontal="left" vertical="center"/>
    </xf>
    <xf numFmtId="0" fontId="7" fillId="0" borderId="27" xfId="0" applyFont="1" applyBorder="1" applyAlignment="1">
      <alignment horizontal="left" vertical="center"/>
    </xf>
    <xf numFmtId="0" fontId="7" fillId="2" borderId="35" xfId="0" applyFont="1" applyFill="1" applyBorder="1" applyAlignment="1">
      <alignment horizontal="left" vertical="center"/>
    </xf>
    <xf numFmtId="0" fontId="7" fillId="2" borderId="37" xfId="0" applyFont="1" applyFill="1" applyBorder="1" applyAlignment="1">
      <alignment horizontal="left" vertical="center"/>
    </xf>
    <xf numFmtId="0" fontId="7" fillId="2" borderId="30" xfId="0" applyFont="1" applyFill="1" applyBorder="1" applyAlignment="1">
      <alignment horizontal="left" vertical="center"/>
    </xf>
    <xf numFmtId="0" fontId="7" fillId="2" borderId="38" xfId="0" applyFont="1" applyFill="1" applyBorder="1" applyAlignment="1">
      <alignment horizontal="left" vertical="center"/>
    </xf>
    <xf numFmtId="0" fontId="7" fillId="2" borderId="22" xfId="0" applyFont="1" applyFill="1" applyBorder="1" applyAlignment="1">
      <alignment horizontal="left" vertical="center"/>
    </xf>
    <xf numFmtId="0" fontId="7" fillId="2" borderId="27" xfId="0" applyFont="1" applyFill="1" applyBorder="1" applyAlignment="1">
      <alignment horizontal="left" vertical="center"/>
    </xf>
    <xf numFmtId="0" fontId="8" fillId="0" borderId="42" xfId="0" applyFont="1" applyBorder="1" applyAlignment="1">
      <alignment horizontal="left" vertical="center"/>
    </xf>
    <xf numFmtId="0" fontId="8" fillId="0" borderId="40" xfId="0" applyFont="1" applyBorder="1" applyAlignment="1">
      <alignment horizontal="left" vertical="center"/>
    </xf>
    <xf numFmtId="0" fontId="8" fillId="0" borderId="41" xfId="0" applyFont="1" applyBorder="1" applyAlignment="1">
      <alignment horizontal="left" vertical="center"/>
    </xf>
    <xf numFmtId="0" fontId="8" fillId="0" borderId="45" xfId="0" applyFont="1" applyBorder="1" applyAlignment="1">
      <alignment horizontal="left" vertical="center"/>
    </xf>
    <xf numFmtId="0" fontId="8" fillId="0" borderId="0" xfId="0" applyFont="1" applyAlignment="1">
      <alignment horizontal="left" vertical="center"/>
    </xf>
    <xf numFmtId="0" fontId="8" fillId="0" borderId="44" xfId="0" applyFont="1" applyBorder="1" applyAlignment="1">
      <alignment horizontal="left" vertical="center"/>
    </xf>
    <xf numFmtId="0" fontId="8" fillId="0" borderId="49" xfId="0" applyFont="1" applyBorder="1" applyAlignment="1">
      <alignment horizontal="left" vertical="center"/>
    </xf>
    <xf numFmtId="0" fontId="8" fillId="0" borderId="47" xfId="0" applyFont="1" applyBorder="1" applyAlignment="1">
      <alignment horizontal="left" vertical="center"/>
    </xf>
    <xf numFmtId="0" fontId="8" fillId="0" borderId="48" xfId="0" applyFont="1" applyBorder="1" applyAlignment="1">
      <alignment horizontal="left" vertical="center"/>
    </xf>
    <xf numFmtId="0" fontId="8" fillId="0" borderId="39" xfId="0" applyFont="1" applyBorder="1" applyAlignment="1">
      <alignment horizontal="left" vertical="center"/>
    </xf>
    <xf numFmtId="0" fontId="8" fillId="0" borderId="43" xfId="0" applyFont="1" applyBorder="1" applyAlignment="1">
      <alignment horizontal="left" vertical="center"/>
    </xf>
    <xf numFmtId="0" fontId="8" fillId="0" borderId="46" xfId="0" applyFont="1" applyBorder="1" applyAlignment="1">
      <alignment horizontal="left" vertical="center"/>
    </xf>
    <xf numFmtId="0" fontId="7" fillId="0" borderId="8" xfId="0" applyFont="1" applyBorder="1" applyAlignment="1">
      <alignment horizontal="left" vertical="center"/>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2" fillId="0" borderId="30" xfId="0" applyFont="1" applyBorder="1" applyAlignment="1">
      <alignment horizontal="left" vertical="center"/>
    </xf>
    <xf numFmtId="0" fontId="2" fillId="0" borderId="38" xfId="0" applyFont="1" applyBorder="1" applyAlignment="1">
      <alignment horizontal="left" vertical="center"/>
    </xf>
    <xf numFmtId="0" fontId="2" fillId="0" borderId="28" xfId="0" applyFont="1" applyBorder="1" applyAlignment="1">
      <alignment horizontal="left"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56" xfId="0" applyFont="1" applyBorder="1" applyAlignment="1">
      <alignment horizontal="left" vertical="center"/>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60" xfId="0" applyFont="1" applyBorder="1" applyAlignment="1">
      <alignment horizontal="left" vertical="center"/>
    </xf>
    <xf numFmtId="0" fontId="7" fillId="0" borderId="58" xfId="0" applyFont="1" applyBorder="1" applyAlignment="1">
      <alignment horizontal="left" vertical="center"/>
    </xf>
    <xf numFmtId="0" fontId="7" fillId="0" borderId="59" xfId="0" applyFont="1" applyBorder="1" applyAlignment="1">
      <alignment horizontal="left" vertical="center"/>
    </xf>
    <xf numFmtId="0" fontId="7" fillId="0" borderId="60" xfId="0" applyFont="1" applyBorder="1" applyAlignment="1">
      <alignment horizontal="left" vertical="center"/>
    </xf>
    <xf numFmtId="4" fontId="7" fillId="0" borderId="62" xfId="0" applyNumberFormat="1" applyFont="1" applyBorder="1" applyAlignment="1">
      <alignment horizontal="right" vertical="center"/>
    </xf>
    <xf numFmtId="0" fontId="7" fillId="0" borderId="59" xfId="0" applyFont="1" applyBorder="1" applyAlignment="1">
      <alignment horizontal="right" vertical="center"/>
    </xf>
    <xf numFmtId="0" fontId="7" fillId="0" borderId="60" xfId="0" applyFont="1" applyBorder="1" applyAlignment="1">
      <alignment horizontal="right" vertical="center"/>
    </xf>
    <xf numFmtId="0" fontId="2" fillId="3" borderId="0" xfId="0" applyFont="1" applyFill="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0" xfId="0" applyFont="1" applyFill="1" applyAlignment="1" applyProtection="1">
      <alignment horizontal="left" vertical="center" wrapText="1"/>
      <protection locked="0"/>
    </xf>
    <xf numFmtId="0" fontId="2" fillId="3" borderId="8"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center"/>
      <protection locked="0"/>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2" fillId="3" borderId="3" xfId="0" applyFont="1" applyFill="1" applyBorder="1" applyAlignment="1" applyProtection="1">
      <alignment horizontal="left" vertical="center"/>
      <protection locked="0"/>
    </xf>
    <xf numFmtId="0" fontId="10" fillId="0" borderId="0" xfId="0" applyFont="1" applyAlignment="1">
      <alignment horizontal="left" vertical="center" wrapText="1"/>
    </xf>
    <xf numFmtId="0" fontId="10" fillId="0" borderId="0" xfId="0" applyFont="1" applyAlignment="1">
      <alignment horizontal="left" vertical="center"/>
    </xf>
    <xf numFmtId="0" fontId="10" fillId="3" borderId="0" xfId="0" applyFont="1" applyFill="1" applyAlignment="1" applyProtection="1">
      <alignment horizontal="left" vertical="center"/>
      <protection locked="0"/>
    </xf>
    <xf numFmtId="0" fontId="10" fillId="0" borderId="6" xfId="0" applyFont="1" applyBorder="1" applyAlignment="1">
      <alignment horizontal="left" vertical="center"/>
    </xf>
    <xf numFmtId="0" fontId="3" fillId="0" borderId="71" xfId="0" applyFont="1" applyBorder="1" applyAlignment="1">
      <alignment horizontal="left" vertical="center"/>
    </xf>
    <xf numFmtId="0" fontId="3" fillId="0" borderId="72" xfId="0" applyFont="1" applyBorder="1" applyAlignment="1">
      <alignment horizontal="left"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68" xfId="0" applyFont="1" applyBorder="1" applyAlignment="1">
      <alignment horizontal="center" vertical="center"/>
    </xf>
    <xf numFmtId="0" fontId="3" fillId="2" borderId="17" xfId="0" applyFont="1" applyFill="1" applyBorder="1" applyAlignment="1">
      <alignment horizontal="left" vertical="center" wrapText="1"/>
    </xf>
    <xf numFmtId="0" fontId="3" fillId="2" borderId="17"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10" fillId="0" borderId="9" xfId="0" applyFont="1" applyBorder="1" applyAlignment="1">
      <alignment horizontal="left" vertical="center" wrapText="1"/>
    </xf>
    <xf numFmtId="0" fontId="10" fillId="0" borderId="9" xfId="0" applyFont="1" applyBorder="1" applyAlignment="1">
      <alignment horizontal="left" vertical="center"/>
    </xf>
    <xf numFmtId="0" fontId="10" fillId="3" borderId="9" xfId="0" applyFont="1" applyFill="1" applyBorder="1" applyAlignment="1" applyProtection="1">
      <alignment horizontal="left" vertical="center"/>
      <protection locked="0"/>
    </xf>
    <xf numFmtId="0" fontId="10" fillId="0" borderId="19" xfId="0" applyFont="1" applyBorder="1" applyAlignment="1">
      <alignment horizontal="left" vertical="center"/>
    </xf>
    <xf numFmtId="0" fontId="3" fillId="0" borderId="76" xfId="0" applyFont="1" applyBorder="1" applyAlignment="1">
      <alignment horizontal="left" vertical="center"/>
    </xf>
    <xf numFmtId="14" fontId="2" fillId="3" borderId="0" xfId="0" applyNumberFormat="1" applyFont="1" applyFill="1" applyAlignment="1" applyProtection="1">
      <alignment horizontal="left" vertical="center"/>
      <protection locked="0"/>
    </xf>
    <xf numFmtId="14" fontId="2" fillId="0" borderId="0" xfId="0" applyNumberFormat="1" applyFont="1" applyAlignment="1">
      <alignment horizontal="left" vertical="center"/>
    </xf>
    <xf numFmtId="14" fontId="2" fillId="0" borderId="6" xfId="0" applyNumberFormat="1" applyFont="1" applyBorder="1" applyAlignment="1">
      <alignment horizontal="lef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workbookViewId="0">
      <pane ySplit="11" topLeftCell="A27" activePane="bottomLeft" state="frozen"/>
      <selection pane="bottomLeft" activeCell="G10" sqref="G10"/>
    </sheetView>
  </sheetViews>
  <sheetFormatPr defaultColWidth="12.1796875" defaultRowHeight="15" customHeight="1" x14ac:dyDescent="0.35"/>
  <cols>
    <col min="1" max="2" width="8.54296875" customWidth="1"/>
    <col min="3" max="3" width="71.453125" customWidth="1"/>
    <col min="4" max="4" width="12.1796875" customWidth="1"/>
    <col min="5" max="7" width="27.81640625" customWidth="1"/>
    <col min="8" max="9" width="0" hidden="1" customWidth="1"/>
  </cols>
  <sheetData>
    <row r="1" spans="1:9" ht="54.75" customHeight="1" x14ac:dyDescent="0.35">
      <c r="A1" s="71" t="s">
        <v>0</v>
      </c>
      <c r="B1" s="71"/>
      <c r="C1" s="71"/>
      <c r="D1" s="71"/>
      <c r="E1" s="71"/>
      <c r="F1" s="71"/>
      <c r="G1" s="71"/>
    </row>
    <row r="2" spans="1:9" ht="14.5" x14ac:dyDescent="0.35">
      <c r="A2" s="72" t="s">
        <v>1</v>
      </c>
      <c r="B2" s="73"/>
      <c r="C2" s="82" t="str">
        <f>'Stavební rozpočet'!C2</f>
        <v>Oprava sociálního zařízení v krytém bazénu Chrudim</v>
      </c>
      <c r="D2" s="73" t="s">
        <v>2</v>
      </c>
      <c r="E2" s="73" t="s">
        <v>3</v>
      </c>
      <c r="F2" s="80" t="s">
        <v>4</v>
      </c>
      <c r="G2" s="84" t="str">
        <f>'Stavební rozpočet'!I2</f>
        <v>Sportovní areály města Chrudim s.r.o.</v>
      </c>
    </row>
    <row r="3" spans="1:9" ht="15" customHeight="1" x14ac:dyDescent="0.35">
      <c r="A3" s="74"/>
      <c r="B3" s="75"/>
      <c r="C3" s="83"/>
      <c r="D3" s="75"/>
      <c r="E3" s="75"/>
      <c r="F3" s="75"/>
      <c r="G3" s="85"/>
    </row>
    <row r="4" spans="1:9" ht="14.5" x14ac:dyDescent="0.35">
      <c r="A4" s="76" t="s">
        <v>5</v>
      </c>
      <c r="B4" s="75"/>
      <c r="C4" s="81" t="str">
        <f>'Stavební rozpočet'!C4</f>
        <v>oprava</v>
      </c>
      <c r="D4" s="75" t="s">
        <v>6</v>
      </c>
      <c r="E4" s="75" t="s">
        <v>3</v>
      </c>
      <c r="F4" s="81" t="s">
        <v>7</v>
      </c>
      <c r="G4" s="86" t="str">
        <f>'Stavební rozpočet'!I4</f>
        <v>ing. Petr Linek</v>
      </c>
    </row>
    <row r="5" spans="1:9" ht="15" customHeight="1" x14ac:dyDescent="0.35">
      <c r="A5" s="74"/>
      <c r="B5" s="75"/>
      <c r="C5" s="75"/>
      <c r="D5" s="75"/>
      <c r="E5" s="75"/>
      <c r="F5" s="75"/>
      <c r="G5" s="85"/>
    </row>
    <row r="6" spans="1:9" ht="14.5" x14ac:dyDescent="0.35">
      <c r="A6" s="76" t="s">
        <v>8</v>
      </c>
      <c r="B6" s="75"/>
      <c r="C6" s="81" t="str">
        <f>'Stavební rozpočet'!C6</f>
        <v>Chrudim</v>
      </c>
      <c r="D6" s="75" t="s">
        <v>9</v>
      </c>
      <c r="E6" s="75" t="s">
        <v>3</v>
      </c>
      <c r="F6" s="81" t="s">
        <v>10</v>
      </c>
      <c r="G6" s="86" t="str">
        <f>'Stavební rozpočet'!I6</f>
        <v> </v>
      </c>
    </row>
    <row r="7" spans="1:9" ht="15" customHeight="1" x14ac:dyDescent="0.35">
      <c r="A7" s="74"/>
      <c r="B7" s="75"/>
      <c r="C7" s="75"/>
      <c r="D7" s="75"/>
      <c r="E7" s="75"/>
      <c r="F7" s="75"/>
      <c r="G7" s="85"/>
    </row>
    <row r="8" spans="1:9" ht="14.5" x14ac:dyDescent="0.35">
      <c r="A8" s="76" t="s">
        <v>11</v>
      </c>
      <c r="B8" s="75"/>
      <c r="C8" s="81" t="str">
        <f>'Stavební rozpočet'!I8</f>
        <v>Zdeňka Altová</v>
      </c>
      <c r="D8" s="75" t="s">
        <v>12</v>
      </c>
      <c r="E8" s="173">
        <v>45685</v>
      </c>
      <c r="F8" s="75" t="s">
        <v>12</v>
      </c>
      <c r="G8" s="174">
        <v>45685</v>
      </c>
    </row>
    <row r="9" spans="1:9" ht="14.5" x14ac:dyDescent="0.35">
      <c r="A9" s="77"/>
      <c r="B9" s="78"/>
      <c r="C9" s="78"/>
      <c r="D9" s="79"/>
      <c r="E9" s="78"/>
      <c r="F9" s="78"/>
      <c r="G9" s="87"/>
    </row>
    <row r="10" spans="1:9" ht="14.5" x14ac:dyDescent="0.35">
      <c r="A10" s="5" t="s">
        <v>13</v>
      </c>
      <c r="B10" s="6" t="s">
        <v>14</v>
      </c>
      <c r="C10" s="7" t="s">
        <v>15</v>
      </c>
      <c r="E10" s="8" t="s">
        <v>16</v>
      </c>
      <c r="F10" s="9" t="s">
        <v>17</v>
      </c>
      <c r="G10" s="9" t="s">
        <v>18</v>
      </c>
    </row>
    <row r="11" spans="1:9" ht="14.5" x14ac:dyDescent="0.35">
      <c r="A11" s="10" t="s">
        <v>19</v>
      </c>
      <c r="B11" s="11" t="s">
        <v>20</v>
      </c>
      <c r="C11" s="75" t="s">
        <v>21</v>
      </c>
      <c r="D11" s="75"/>
      <c r="E11" s="12">
        <f>'Stavební rozpočet'!H12</f>
        <v>0</v>
      </c>
      <c r="F11" s="12">
        <f>'Stavební rozpočet'!I12</f>
        <v>0</v>
      </c>
      <c r="G11" s="12">
        <f>'Stavební rozpočet'!J12</f>
        <v>0</v>
      </c>
      <c r="H11" s="13" t="s">
        <v>22</v>
      </c>
      <c r="I11" s="14">
        <f t="shared" ref="I11:I38" si="0">IF(H11="F",0,G11)</f>
        <v>0</v>
      </c>
    </row>
    <row r="12" spans="1:9" ht="14.5" x14ac:dyDescent="0.35">
      <c r="A12" s="1" t="s">
        <v>19</v>
      </c>
      <c r="B12" s="2" t="s">
        <v>23</v>
      </c>
      <c r="C12" s="75" t="s">
        <v>24</v>
      </c>
      <c r="D12" s="75"/>
      <c r="E12" s="14">
        <f>'Stavební rozpočet'!H21</f>
        <v>0</v>
      </c>
      <c r="F12" s="14">
        <f>'Stavební rozpočet'!I21</f>
        <v>0</v>
      </c>
      <c r="G12" s="14">
        <f>'Stavební rozpočet'!J21</f>
        <v>0</v>
      </c>
      <c r="H12" s="13" t="s">
        <v>22</v>
      </c>
      <c r="I12" s="14">
        <f t="shared" si="0"/>
        <v>0</v>
      </c>
    </row>
    <row r="13" spans="1:9" ht="14.5" x14ac:dyDescent="0.35">
      <c r="A13" s="1" t="s">
        <v>19</v>
      </c>
      <c r="B13" s="2" t="s">
        <v>25</v>
      </c>
      <c r="C13" s="75" t="s">
        <v>26</v>
      </c>
      <c r="D13" s="75"/>
      <c r="E13" s="14">
        <f>'Stavební rozpočet'!H26</f>
        <v>0</v>
      </c>
      <c r="F13" s="14">
        <f>'Stavební rozpočet'!I26</f>
        <v>0</v>
      </c>
      <c r="G13" s="14">
        <f>'Stavební rozpočet'!J26</f>
        <v>0</v>
      </c>
      <c r="H13" s="13" t="s">
        <v>22</v>
      </c>
      <c r="I13" s="14">
        <f t="shared" si="0"/>
        <v>0</v>
      </c>
    </row>
    <row r="14" spans="1:9" ht="14.5" x14ac:dyDescent="0.35">
      <c r="A14" s="1" t="s">
        <v>19</v>
      </c>
      <c r="B14" s="2" t="s">
        <v>27</v>
      </c>
      <c r="C14" s="75" t="s">
        <v>28</v>
      </c>
      <c r="D14" s="75"/>
      <c r="E14" s="14">
        <f>'Stavební rozpočet'!H29</f>
        <v>0</v>
      </c>
      <c r="F14" s="14">
        <f>'Stavební rozpočet'!I29</f>
        <v>0</v>
      </c>
      <c r="G14" s="14">
        <f>'Stavební rozpočet'!J29</f>
        <v>0</v>
      </c>
      <c r="H14" s="13" t="s">
        <v>22</v>
      </c>
      <c r="I14" s="14">
        <f t="shared" si="0"/>
        <v>0</v>
      </c>
    </row>
    <row r="15" spans="1:9" ht="14.5" x14ac:dyDescent="0.35">
      <c r="A15" s="1" t="s">
        <v>19</v>
      </c>
      <c r="B15" s="2" t="s">
        <v>29</v>
      </c>
      <c r="C15" s="75" t="s">
        <v>30</v>
      </c>
      <c r="D15" s="75"/>
      <c r="E15" s="14">
        <f>'Stavební rozpočet'!H35</f>
        <v>0</v>
      </c>
      <c r="F15" s="14">
        <f>'Stavební rozpočet'!I35</f>
        <v>0</v>
      </c>
      <c r="G15" s="14">
        <f>'Stavební rozpočet'!J35</f>
        <v>0</v>
      </c>
      <c r="H15" s="13" t="s">
        <v>22</v>
      </c>
      <c r="I15" s="14">
        <f t="shared" si="0"/>
        <v>0</v>
      </c>
    </row>
    <row r="16" spans="1:9" ht="14.5" x14ac:dyDescent="0.35">
      <c r="A16" s="1" t="s">
        <v>19</v>
      </c>
      <c r="B16" s="2" t="s">
        <v>31</v>
      </c>
      <c r="C16" s="75" t="s">
        <v>32</v>
      </c>
      <c r="D16" s="75"/>
      <c r="E16" s="14">
        <f>'Stavební rozpočet'!H38</f>
        <v>0</v>
      </c>
      <c r="F16" s="14">
        <f>'Stavební rozpočet'!I38</f>
        <v>0</v>
      </c>
      <c r="G16" s="14">
        <f>'Stavební rozpočet'!J38</f>
        <v>0</v>
      </c>
      <c r="H16" s="13" t="s">
        <v>22</v>
      </c>
      <c r="I16" s="14">
        <f t="shared" si="0"/>
        <v>0</v>
      </c>
    </row>
    <row r="17" spans="1:9" ht="14.5" x14ac:dyDescent="0.35">
      <c r="A17" s="1" t="s">
        <v>19</v>
      </c>
      <c r="B17" s="2" t="s">
        <v>33</v>
      </c>
      <c r="C17" s="75" t="s">
        <v>34</v>
      </c>
      <c r="D17" s="75"/>
      <c r="E17" s="14">
        <f>'Stavební rozpočet'!H45</f>
        <v>0</v>
      </c>
      <c r="F17" s="14">
        <f>'Stavební rozpočet'!I45</f>
        <v>0</v>
      </c>
      <c r="G17" s="14">
        <f>'Stavební rozpočet'!J45</f>
        <v>0</v>
      </c>
      <c r="H17" s="13" t="s">
        <v>22</v>
      </c>
      <c r="I17" s="14">
        <f t="shared" si="0"/>
        <v>0</v>
      </c>
    </row>
    <row r="18" spans="1:9" ht="14.5" x14ac:dyDescent="0.35">
      <c r="A18" s="1" t="s">
        <v>19</v>
      </c>
      <c r="B18" s="2" t="s">
        <v>35</v>
      </c>
      <c r="C18" s="75" t="s">
        <v>36</v>
      </c>
      <c r="D18" s="75"/>
      <c r="E18" s="14">
        <f>'Stavební rozpočet'!H50</f>
        <v>0</v>
      </c>
      <c r="F18" s="14">
        <f>'Stavební rozpočet'!I50</f>
        <v>0</v>
      </c>
      <c r="G18" s="14">
        <f>'Stavební rozpočet'!J50</f>
        <v>0</v>
      </c>
      <c r="H18" s="13" t="s">
        <v>22</v>
      </c>
      <c r="I18" s="14">
        <f t="shared" si="0"/>
        <v>0</v>
      </c>
    </row>
    <row r="19" spans="1:9" ht="14.5" x14ac:dyDescent="0.35">
      <c r="A19" s="1" t="s">
        <v>19</v>
      </c>
      <c r="B19" s="2" t="s">
        <v>37</v>
      </c>
      <c r="C19" s="75" t="s">
        <v>38</v>
      </c>
      <c r="D19" s="75"/>
      <c r="E19" s="14">
        <f>'Stavební rozpočet'!H55</f>
        <v>0</v>
      </c>
      <c r="F19" s="14">
        <f>'Stavební rozpočet'!I55</f>
        <v>0</v>
      </c>
      <c r="G19" s="14">
        <f>'Stavební rozpočet'!J55</f>
        <v>0</v>
      </c>
      <c r="H19" s="13" t="s">
        <v>22</v>
      </c>
      <c r="I19" s="14">
        <f t="shared" si="0"/>
        <v>0</v>
      </c>
    </row>
    <row r="20" spans="1:9" ht="14.5" x14ac:dyDescent="0.35">
      <c r="A20" s="1" t="s">
        <v>19</v>
      </c>
      <c r="B20" s="2" t="s">
        <v>39</v>
      </c>
      <c r="C20" s="75" t="s">
        <v>40</v>
      </c>
      <c r="D20" s="75"/>
      <c r="E20" s="14">
        <f>'Stavební rozpočet'!H69</f>
        <v>0</v>
      </c>
      <c r="F20" s="14">
        <f>'Stavební rozpočet'!I69</f>
        <v>0</v>
      </c>
      <c r="G20" s="14">
        <f>'Stavební rozpočet'!J69</f>
        <v>0</v>
      </c>
      <c r="H20" s="13" t="s">
        <v>22</v>
      </c>
      <c r="I20" s="14">
        <f t="shared" si="0"/>
        <v>0</v>
      </c>
    </row>
    <row r="21" spans="1:9" ht="14.5" x14ac:dyDescent="0.35">
      <c r="A21" s="1" t="s">
        <v>19</v>
      </c>
      <c r="B21" s="2" t="s">
        <v>41</v>
      </c>
      <c r="C21" s="75" t="s">
        <v>42</v>
      </c>
      <c r="D21" s="75"/>
      <c r="E21" s="14">
        <f>'Stavební rozpočet'!H85</f>
        <v>0</v>
      </c>
      <c r="F21" s="14">
        <f>'Stavební rozpočet'!I85</f>
        <v>0</v>
      </c>
      <c r="G21" s="14">
        <f>'Stavební rozpočet'!J85</f>
        <v>0</v>
      </c>
      <c r="H21" s="13" t="s">
        <v>22</v>
      </c>
      <c r="I21" s="14">
        <f t="shared" si="0"/>
        <v>0</v>
      </c>
    </row>
    <row r="22" spans="1:9" ht="14.5" x14ac:dyDescent="0.35">
      <c r="A22" s="1" t="s">
        <v>19</v>
      </c>
      <c r="B22" s="2" t="s">
        <v>43</v>
      </c>
      <c r="C22" s="75" t="s">
        <v>44</v>
      </c>
      <c r="D22" s="75"/>
      <c r="E22" s="14">
        <f>'Stavební rozpočet'!H109</f>
        <v>0</v>
      </c>
      <c r="F22" s="14">
        <f>'Stavební rozpočet'!I109</f>
        <v>0</v>
      </c>
      <c r="G22" s="14">
        <f>'Stavební rozpočet'!J109</f>
        <v>0</v>
      </c>
      <c r="H22" s="13" t="s">
        <v>22</v>
      </c>
      <c r="I22" s="14">
        <f t="shared" si="0"/>
        <v>0</v>
      </c>
    </row>
    <row r="23" spans="1:9" ht="14.5" x14ac:dyDescent="0.35">
      <c r="A23" s="1" t="s">
        <v>19</v>
      </c>
      <c r="B23" s="2" t="s">
        <v>45</v>
      </c>
      <c r="C23" s="75" t="s">
        <v>46</v>
      </c>
      <c r="D23" s="75"/>
      <c r="E23" s="14">
        <f>'Stavební rozpočet'!H123</f>
        <v>0</v>
      </c>
      <c r="F23" s="14">
        <f>'Stavební rozpočet'!I123</f>
        <v>0</v>
      </c>
      <c r="G23" s="14">
        <f>'Stavební rozpočet'!J123</f>
        <v>0</v>
      </c>
      <c r="H23" s="13" t="s">
        <v>22</v>
      </c>
      <c r="I23" s="14">
        <f t="shared" si="0"/>
        <v>0</v>
      </c>
    </row>
    <row r="24" spans="1:9" ht="14.5" x14ac:dyDescent="0.35">
      <c r="A24" s="1" t="s">
        <v>19</v>
      </c>
      <c r="B24" s="2" t="s">
        <v>47</v>
      </c>
      <c r="C24" s="75" t="s">
        <v>48</v>
      </c>
      <c r="D24" s="75"/>
      <c r="E24" s="14">
        <f>'Stavební rozpočet'!H126</f>
        <v>0</v>
      </c>
      <c r="F24" s="14">
        <f>'Stavební rozpočet'!I126</f>
        <v>0</v>
      </c>
      <c r="G24" s="14">
        <f>'Stavební rozpočet'!J126</f>
        <v>0</v>
      </c>
      <c r="H24" s="13" t="s">
        <v>22</v>
      </c>
      <c r="I24" s="14">
        <f t="shared" si="0"/>
        <v>0</v>
      </c>
    </row>
    <row r="25" spans="1:9" ht="14.5" x14ac:dyDescent="0.35">
      <c r="A25" s="1" t="s">
        <v>19</v>
      </c>
      <c r="B25" s="2" t="s">
        <v>49</v>
      </c>
      <c r="C25" s="75" t="s">
        <v>50</v>
      </c>
      <c r="D25" s="75"/>
      <c r="E25" s="14">
        <f>'Stavební rozpočet'!H133</f>
        <v>0</v>
      </c>
      <c r="F25" s="14">
        <f>'Stavební rozpočet'!I133</f>
        <v>0</v>
      </c>
      <c r="G25" s="14">
        <f>'Stavební rozpočet'!J133</f>
        <v>0</v>
      </c>
      <c r="H25" s="13" t="s">
        <v>22</v>
      </c>
      <c r="I25" s="14">
        <f t="shared" si="0"/>
        <v>0</v>
      </c>
    </row>
    <row r="26" spans="1:9" ht="14.5" x14ac:dyDescent="0.35">
      <c r="A26" s="1" t="s">
        <v>19</v>
      </c>
      <c r="B26" s="2" t="s">
        <v>51</v>
      </c>
      <c r="C26" s="75" t="s">
        <v>52</v>
      </c>
      <c r="D26" s="75"/>
      <c r="E26" s="14">
        <f>'Stavební rozpočet'!H142</f>
        <v>0</v>
      </c>
      <c r="F26" s="14">
        <f>'Stavební rozpočet'!I142</f>
        <v>0</v>
      </c>
      <c r="G26" s="14">
        <f>'Stavební rozpočet'!J142</f>
        <v>0</v>
      </c>
      <c r="H26" s="13" t="s">
        <v>22</v>
      </c>
      <c r="I26" s="14">
        <f t="shared" si="0"/>
        <v>0</v>
      </c>
    </row>
    <row r="27" spans="1:9" ht="14.5" x14ac:dyDescent="0.35">
      <c r="A27" s="1" t="s">
        <v>19</v>
      </c>
      <c r="B27" s="2" t="s">
        <v>53</v>
      </c>
      <c r="C27" s="75" t="s">
        <v>54</v>
      </c>
      <c r="D27" s="75"/>
      <c r="E27" s="14">
        <f>'Stavební rozpočet'!H162</f>
        <v>0</v>
      </c>
      <c r="F27" s="14">
        <f>'Stavební rozpočet'!I162</f>
        <v>0</v>
      </c>
      <c r="G27" s="14">
        <f>'Stavební rozpočet'!J162</f>
        <v>0</v>
      </c>
      <c r="H27" s="13" t="s">
        <v>22</v>
      </c>
      <c r="I27" s="14">
        <f t="shared" si="0"/>
        <v>0</v>
      </c>
    </row>
    <row r="28" spans="1:9" ht="14.5" x14ac:dyDescent="0.35">
      <c r="A28" s="1" t="s">
        <v>19</v>
      </c>
      <c r="B28" s="2" t="s">
        <v>55</v>
      </c>
      <c r="C28" s="75" t="s">
        <v>56</v>
      </c>
      <c r="D28" s="75"/>
      <c r="E28" s="14">
        <f>'Stavební rozpočet'!H165</f>
        <v>0</v>
      </c>
      <c r="F28" s="14">
        <f>'Stavební rozpočet'!I165</f>
        <v>0</v>
      </c>
      <c r="G28" s="14">
        <f>'Stavební rozpočet'!J165</f>
        <v>0</v>
      </c>
      <c r="H28" s="13" t="s">
        <v>22</v>
      </c>
      <c r="I28" s="14">
        <f t="shared" si="0"/>
        <v>0</v>
      </c>
    </row>
    <row r="29" spans="1:9" ht="14.5" x14ac:dyDescent="0.35">
      <c r="A29" s="1" t="s">
        <v>19</v>
      </c>
      <c r="B29" s="2" t="s">
        <v>57</v>
      </c>
      <c r="C29" s="75" t="s">
        <v>58</v>
      </c>
      <c r="D29" s="75"/>
      <c r="E29" s="14">
        <f>'Stavební rozpočet'!H179</f>
        <v>0</v>
      </c>
      <c r="F29" s="14">
        <f>'Stavební rozpočet'!I179</f>
        <v>0</v>
      </c>
      <c r="G29" s="14">
        <f>'Stavební rozpočet'!J179</f>
        <v>0</v>
      </c>
      <c r="H29" s="13" t="s">
        <v>22</v>
      </c>
      <c r="I29" s="14">
        <f t="shared" si="0"/>
        <v>0</v>
      </c>
    </row>
    <row r="30" spans="1:9" ht="14.5" x14ac:dyDescent="0.35">
      <c r="A30" s="1" t="s">
        <v>19</v>
      </c>
      <c r="B30" s="2" t="s">
        <v>59</v>
      </c>
      <c r="C30" s="75" t="s">
        <v>60</v>
      </c>
      <c r="D30" s="75"/>
      <c r="E30" s="14">
        <f>'Stavební rozpočet'!H184</f>
        <v>0</v>
      </c>
      <c r="F30" s="14">
        <f>'Stavební rozpočet'!I184</f>
        <v>0</v>
      </c>
      <c r="G30" s="14">
        <f>'Stavební rozpočet'!J184</f>
        <v>0</v>
      </c>
      <c r="H30" s="13" t="s">
        <v>22</v>
      </c>
      <c r="I30" s="14">
        <f t="shared" si="0"/>
        <v>0</v>
      </c>
    </row>
    <row r="31" spans="1:9" ht="14.5" x14ac:dyDescent="0.35">
      <c r="A31" s="1" t="s">
        <v>19</v>
      </c>
      <c r="B31" s="2" t="s">
        <v>61</v>
      </c>
      <c r="C31" s="75" t="s">
        <v>62</v>
      </c>
      <c r="D31" s="75"/>
      <c r="E31" s="14">
        <f>'Stavební rozpočet'!H186</f>
        <v>0</v>
      </c>
      <c r="F31" s="14">
        <f>'Stavební rozpočet'!I186</f>
        <v>0</v>
      </c>
      <c r="G31" s="14">
        <f>'Stavební rozpočet'!J186</f>
        <v>0</v>
      </c>
      <c r="H31" s="13" t="s">
        <v>22</v>
      </c>
      <c r="I31" s="14">
        <f t="shared" si="0"/>
        <v>0</v>
      </c>
    </row>
    <row r="32" spans="1:9" ht="14.5" x14ac:dyDescent="0.35">
      <c r="A32" s="1" t="s">
        <v>19</v>
      </c>
      <c r="B32" s="2" t="s">
        <v>63</v>
      </c>
      <c r="C32" s="75" t="s">
        <v>64</v>
      </c>
      <c r="D32" s="75"/>
      <c r="E32" s="14">
        <f>'Stavební rozpočet'!H199</f>
        <v>0</v>
      </c>
      <c r="F32" s="14">
        <f>'Stavební rozpočet'!I199</f>
        <v>0</v>
      </c>
      <c r="G32" s="14">
        <f>'Stavební rozpočet'!J199</f>
        <v>0</v>
      </c>
      <c r="H32" s="13" t="s">
        <v>22</v>
      </c>
      <c r="I32" s="14">
        <f t="shared" si="0"/>
        <v>0</v>
      </c>
    </row>
    <row r="33" spans="1:9" ht="14.5" x14ac:dyDescent="0.35">
      <c r="A33" s="1" t="s">
        <v>19</v>
      </c>
      <c r="B33" s="2" t="s">
        <v>65</v>
      </c>
      <c r="C33" s="75" t="s">
        <v>66</v>
      </c>
      <c r="D33" s="75"/>
      <c r="E33" s="14">
        <f>'Stavební rozpočet'!H211</f>
        <v>0</v>
      </c>
      <c r="F33" s="14">
        <f>'Stavební rozpočet'!I211</f>
        <v>0</v>
      </c>
      <c r="G33" s="14">
        <f>'Stavební rozpočet'!J211</f>
        <v>0</v>
      </c>
      <c r="H33" s="13" t="s">
        <v>22</v>
      </c>
      <c r="I33" s="14">
        <f t="shared" si="0"/>
        <v>0</v>
      </c>
    </row>
    <row r="34" spans="1:9" ht="14.5" x14ac:dyDescent="0.35">
      <c r="A34" s="1" t="s">
        <v>19</v>
      </c>
      <c r="B34" s="2" t="s">
        <v>67</v>
      </c>
      <c r="C34" s="75" t="s">
        <v>68</v>
      </c>
      <c r="D34" s="75"/>
      <c r="E34" s="14">
        <f>'Stavební rozpočet'!H220</f>
        <v>0</v>
      </c>
      <c r="F34" s="14">
        <f>'Stavební rozpočet'!I220</f>
        <v>0</v>
      </c>
      <c r="G34" s="14">
        <f>'Stavební rozpočet'!J220</f>
        <v>0</v>
      </c>
      <c r="H34" s="13" t="s">
        <v>22</v>
      </c>
      <c r="I34" s="14">
        <f t="shared" si="0"/>
        <v>0</v>
      </c>
    </row>
    <row r="35" spans="1:9" ht="14.5" x14ac:dyDescent="0.35">
      <c r="A35" s="1" t="s">
        <v>19</v>
      </c>
      <c r="B35" s="2" t="s">
        <v>69</v>
      </c>
      <c r="C35" s="75" t="s">
        <v>70</v>
      </c>
      <c r="D35" s="75"/>
      <c r="E35" s="14">
        <f>'Stavební rozpočet'!H222</f>
        <v>0</v>
      </c>
      <c r="F35" s="14">
        <f>'Stavební rozpočet'!I222</f>
        <v>0</v>
      </c>
      <c r="G35" s="14">
        <f>'Stavební rozpočet'!J222</f>
        <v>0</v>
      </c>
      <c r="H35" s="13" t="s">
        <v>22</v>
      </c>
      <c r="I35" s="14">
        <f t="shared" si="0"/>
        <v>0</v>
      </c>
    </row>
    <row r="36" spans="1:9" ht="14.5" x14ac:dyDescent="0.35">
      <c r="A36" s="1" t="s">
        <v>19</v>
      </c>
      <c r="B36" s="2" t="s">
        <v>71</v>
      </c>
      <c r="C36" s="75" t="s">
        <v>72</v>
      </c>
      <c r="D36" s="75"/>
      <c r="E36" s="14">
        <f>'Stavební rozpočet'!H224</f>
        <v>0</v>
      </c>
      <c r="F36" s="14">
        <f>'Stavební rozpočet'!I224</f>
        <v>0</v>
      </c>
      <c r="G36" s="14">
        <f>'Stavební rozpočet'!J224</f>
        <v>0</v>
      </c>
      <c r="H36" s="13" t="s">
        <v>22</v>
      </c>
      <c r="I36" s="14">
        <f t="shared" si="0"/>
        <v>0</v>
      </c>
    </row>
    <row r="37" spans="1:9" ht="14.5" x14ac:dyDescent="0.35">
      <c r="A37" s="1" t="s">
        <v>19</v>
      </c>
      <c r="B37" s="2" t="s">
        <v>73</v>
      </c>
      <c r="C37" s="75" t="s">
        <v>74</v>
      </c>
      <c r="D37" s="75"/>
      <c r="E37" s="14">
        <f>'Stavební rozpočet'!H237</f>
        <v>0</v>
      </c>
      <c r="F37" s="14">
        <f>'Stavební rozpočet'!I237</f>
        <v>0</v>
      </c>
      <c r="G37" s="14">
        <f>'Stavební rozpočet'!J237</f>
        <v>0</v>
      </c>
      <c r="H37" s="13" t="s">
        <v>22</v>
      </c>
      <c r="I37" s="14">
        <f t="shared" si="0"/>
        <v>0</v>
      </c>
    </row>
    <row r="38" spans="1:9" ht="14.5" x14ac:dyDescent="0.35">
      <c r="A38" s="1" t="s">
        <v>19</v>
      </c>
      <c r="B38" s="2" t="s">
        <v>75</v>
      </c>
      <c r="C38" s="75" t="s">
        <v>76</v>
      </c>
      <c r="D38" s="75"/>
      <c r="E38" s="14">
        <f>'Stavební rozpočet'!H246</f>
        <v>0</v>
      </c>
      <c r="F38" s="14">
        <f>'Stavební rozpočet'!I246</f>
        <v>0</v>
      </c>
      <c r="G38" s="14">
        <f>'Stavební rozpočet'!J246</f>
        <v>0</v>
      </c>
      <c r="H38" s="13" t="s">
        <v>22</v>
      </c>
      <c r="I38" s="14">
        <f t="shared" si="0"/>
        <v>0</v>
      </c>
    </row>
    <row r="39" spans="1:9" ht="14.5" x14ac:dyDescent="0.35">
      <c r="F39" s="3" t="s">
        <v>79</v>
      </c>
      <c r="G39" s="15">
        <f>SUM(I11:I38)</f>
        <v>0</v>
      </c>
    </row>
  </sheetData>
  <sheetProtection algorithmName="SHA-512" hashValue="SRaXdOAhlytmaQg4sJRecgRHLpN2VG4/5gWVZrrnSeuZlOUghWtnfL199Dc5x2cP1mJ8GnGzXPOR2u1Ga0T/5w==" saltValue="W2ZkH8Dq7Rd/3RMphNn1lw==" spinCount="100000" sheet="1"/>
  <mergeCells count="53">
    <mergeCell ref="C37:D37"/>
    <mergeCell ref="C38:D38"/>
    <mergeCell ref="C32:D32"/>
    <mergeCell ref="C33:D33"/>
    <mergeCell ref="C34:D34"/>
    <mergeCell ref="C35:D35"/>
    <mergeCell ref="C36:D36"/>
    <mergeCell ref="C27:D27"/>
    <mergeCell ref="C28:D28"/>
    <mergeCell ref="C29:D29"/>
    <mergeCell ref="C30:D30"/>
    <mergeCell ref="C31:D31"/>
    <mergeCell ref="C22:D22"/>
    <mergeCell ref="C23:D23"/>
    <mergeCell ref="C24:D24"/>
    <mergeCell ref="C25:D25"/>
    <mergeCell ref="C26:D26"/>
    <mergeCell ref="C17:D17"/>
    <mergeCell ref="C18:D18"/>
    <mergeCell ref="C19:D19"/>
    <mergeCell ref="C20:D20"/>
    <mergeCell ref="C21:D21"/>
    <mergeCell ref="C12:D12"/>
    <mergeCell ref="C13:D13"/>
    <mergeCell ref="C14:D14"/>
    <mergeCell ref="C15:D15"/>
    <mergeCell ref="C16:D16"/>
    <mergeCell ref="G2:G3"/>
    <mergeCell ref="G4:G5"/>
    <mergeCell ref="G6:G7"/>
    <mergeCell ref="G8:G9"/>
    <mergeCell ref="C11:D11"/>
    <mergeCell ref="C8:C9"/>
    <mergeCell ref="E2:E3"/>
    <mergeCell ref="E4:E5"/>
    <mergeCell ref="E6:E7"/>
    <mergeCell ref="E8:E9"/>
    <mergeCell ref="A1:G1"/>
    <mergeCell ref="A2:B3"/>
    <mergeCell ref="A4:B5"/>
    <mergeCell ref="A6:B7"/>
    <mergeCell ref="A8:B9"/>
    <mergeCell ref="D2:D3"/>
    <mergeCell ref="D4:D5"/>
    <mergeCell ref="D6:D7"/>
    <mergeCell ref="D8:D9"/>
    <mergeCell ref="F2:F3"/>
    <mergeCell ref="F4:F5"/>
    <mergeCell ref="F6:F7"/>
    <mergeCell ref="F8:F9"/>
    <mergeCell ref="C2:C3"/>
    <mergeCell ref="C4:C5"/>
    <mergeCell ref="C6:C7"/>
  </mergeCells>
  <pageMargins left="0.393999993801117" right="0.393999993801117" top="0.59100002050399802" bottom="0.59100002050399802"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
  <sheetViews>
    <sheetView tabSelected="1" workbookViewId="0">
      <selection activeCell="A12" sqref="A12:I12"/>
    </sheetView>
  </sheetViews>
  <sheetFormatPr defaultColWidth="12.1796875" defaultRowHeight="15" customHeight="1" x14ac:dyDescent="0.35"/>
  <cols>
    <col min="1" max="1" width="9.1796875" customWidth="1"/>
    <col min="2" max="2" width="12.81640625" customWidth="1"/>
    <col min="3" max="3" width="27.1796875" customWidth="1"/>
    <col min="4" max="4" width="10" customWidth="1"/>
    <col min="5" max="5" width="14" customWidth="1"/>
    <col min="6" max="6" width="27.1796875" customWidth="1"/>
    <col min="7" max="7" width="9.1796875" customWidth="1"/>
    <col min="8" max="8" width="12.81640625" customWidth="1"/>
    <col min="9" max="9" width="27.1796875" customWidth="1"/>
  </cols>
  <sheetData>
    <row r="1" spans="1:9" ht="54.75" customHeight="1" x14ac:dyDescent="0.35">
      <c r="A1" s="88" t="s">
        <v>80</v>
      </c>
      <c r="B1" s="71"/>
      <c r="C1" s="71"/>
      <c r="D1" s="71"/>
      <c r="E1" s="71"/>
      <c r="F1" s="71"/>
      <c r="G1" s="71"/>
      <c r="H1" s="71"/>
      <c r="I1" s="71"/>
    </row>
    <row r="2" spans="1:9" ht="14.5" x14ac:dyDescent="0.35">
      <c r="A2" s="72" t="s">
        <v>1</v>
      </c>
      <c r="B2" s="73"/>
      <c r="C2" s="82" t="str">
        <f>'Stavební rozpočet'!C2</f>
        <v>Oprava sociálního zařízení v krytém bazénu Chrudim</v>
      </c>
      <c r="D2" s="91"/>
      <c r="E2" s="80" t="s">
        <v>4</v>
      </c>
      <c r="F2" s="80" t="str">
        <f>'Stavební rozpočet'!I2</f>
        <v>Sportovní areály města Chrudim s.r.o.</v>
      </c>
      <c r="G2" s="73"/>
      <c r="H2" s="80" t="s">
        <v>81</v>
      </c>
      <c r="I2" s="89" t="s">
        <v>19</v>
      </c>
    </row>
    <row r="3" spans="1:9" ht="15" customHeight="1" x14ac:dyDescent="0.35">
      <c r="A3" s="74"/>
      <c r="B3" s="75"/>
      <c r="C3" s="83"/>
      <c r="D3" s="83"/>
      <c r="E3" s="75"/>
      <c r="F3" s="75"/>
      <c r="G3" s="75"/>
      <c r="H3" s="75"/>
      <c r="I3" s="85"/>
    </row>
    <row r="4" spans="1:9" ht="14.5" x14ac:dyDescent="0.35">
      <c r="A4" s="76" t="s">
        <v>5</v>
      </c>
      <c r="B4" s="75"/>
      <c r="C4" s="81" t="str">
        <f>'Stavební rozpočet'!C4</f>
        <v>oprava</v>
      </c>
      <c r="D4" s="75"/>
      <c r="E4" s="81" t="s">
        <v>7</v>
      </c>
      <c r="F4" s="81" t="str">
        <f>'Stavební rozpočet'!I4</f>
        <v>ing. Petr Linek</v>
      </c>
      <c r="G4" s="75"/>
      <c r="H4" s="81" t="s">
        <v>81</v>
      </c>
      <c r="I4" s="85" t="s">
        <v>19</v>
      </c>
    </row>
    <row r="5" spans="1:9" ht="15" customHeight="1" x14ac:dyDescent="0.35">
      <c r="A5" s="74"/>
      <c r="B5" s="75"/>
      <c r="C5" s="75"/>
      <c r="D5" s="75"/>
      <c r="E5" s="75"/>
      <c r="F5" s="75"/>
      <c r="G5" s="75"/>
      <c r="H5" s="75"/>
      <c r="I5" s="85"/>
    </row>
    <row r="6" spans="1:9" ht="14.5" x14ac:dyDescent="0.35">
      <c r="A6" s="76" t="s">
        <v>8</v>
      </c>
      <c r="B6" s="75"/>
      <c r="C6" s="81" t="str">
        <f>'Stavební rozpočet'!C6</f>
        <v>Chrudim</v>
      </c>
      <c r="D6" s="75"/>
      <c r="E6" s="81" t="s">
        <v>10</v>
      </c>
      <c r="F6" s="81" t="str">
        <f>'Stavební rozpočet'!I6</f>
        <v> </v>
      </c>
      <c r="G6" s="75"/>
      <c r="H6" s="81" t="s">
        <v>81</v>
      </c>
      <c r="I6" s="85" t="s">
        <v>19</v>
      </c>
    </row>
    <row r="7" spans="1:9" ht="15" customHeight="1" x14ac:dyDescent="0.35">
      <c r="A7" s="74"/>
      <c r="B7" s="75"/>
      <c r="C7" s="75"/>
      <c r="D7" s="75"/>
      <c r="E7" s="75"/>
      <c r="F7" s="75"/>
      <c r="G7" s="75"/>
      <c r="H7" s="75"/>
      <c r="I7" s="85"/>
    </row>
    <row r="8" spans="1:9" ht="14.5" x14ac:dyDescent="0.35">
      <c r="A8" s="76" t="s">
        <v>6</v>
      </c>
      <c r="B8" s="75"/>
      <c r="C8" s="81" t="str">
        <f>'Stavební rozpočet'!G4</f>
        <v xml:space="preserve"> </v>
      </c>
      <c r="D8" s="75"/>
      <c r="E8" s="81" t="s">
        <v>9</v>
      </c>
      <c r="F8" s="81" t="str">
        <f>'Stavební rozpočet'!G6</f>
        <v xml:space="preserve"> </v>
      </c>
      <c r="G8" s="75"/>
      <c r="H8" s="75" t="s">
        <v>82</v>
      </c>
      <c r="I8" s="90">
        <v>167</v>
      </c>
    </row>
    <row r="9" spans="1:9" ht="14.5" x14ac:dyDescent="0.35">
      <c r="A9" s="74"/>
      <c r="B9" s="75"/>
      <c r="C9" s="75"/>
      <c r="D9" s="75"/>
      <c r="E9" s="75"/>
      <c r="F9" s="75"/>
      <c r="G9" s="75"/>
      <c r="H9" s="75"/>
      <c r="I9" s="85"/>
    </row>
    <row r="10" spans="1:9" ht="14.5" x14ac:dyDescent="0.35">
      <c r="A10" s="76" t="s">
        <v>83</v>
      </c>
      <c r="B10" s="75"/>
      <c r="C10" s="81" t="str">
        <f>'Stavební rozpočet'!C8</f>
        <v xml:space="preserve"> </v>
      </c>
      <c r="D10" s="75"/>
      <c r="E10" s="81" t="s">
        <v>11</v>
      </c>
      <c r="F10" s="81" t="str">
        <f>'Stavební rozpočet'!I8</f>
        <v>Zdeňka Altová</v>
      </c>
      <c r="G10" s="75"/>
      <c r="H10" s="75" t="s">
        <v>84</v>
      </c>
      <c r="I10" s="174">
        <v>45685</v>
      </c>
    </row>
    <row r="11" spans="1:9" ht="14.5" x14ac:dyDescent="0.35">
      <c r="A11" s="96"/>
      <c r="B11" s="79"/>
      <c r="C11" s="79"/>
      <c r="D11" s="79"/>
      <c r="E11" s="79"/>
      <c r="F11" s="79"/>
      <c r="G11" s="79"/>
      <c r="H11" s="79"/>
      <c r="I11" s="92"/>
    </row>
    <row r="12" spans="1:9" ht="23" x14ac:dyDescent="0.35">
      <c r="A12" s="93" t="s">
        <v>85</v>
      </c>
      <c r="B12" s="93"/>
      <c r="C12" s="93"/>
      <c r="D12" s="93"/>
      <c r="E12" s="93"/>
      <c r="F12" s="93"/>
      <c r="G12" s="93"/>
      <c r="H12" s="93"/>
      <c r="I12" s="93"/>
    </row>
    <row r="13" spans="1:9" ht="26.25" customHeight="1" x14ac:dyDescent="0.35">
      <c r="A13" s="16" t="s">
        <v>86</v>
      </c>
      <c r="B13" s="94" t="s">
        <v>87</v>
      </c>
      <c r="C13" s="95"/>
      <c r="D13" s="17" t="s">
        <v>88</v>
      </c>
      <c r="E13" s="94" t="s">
        <v>89</v>
      </c>
      <c r="F13" s="95"/>
      <c r="G13" s="17" t="s">
        <v>90</v>
      </c>
      <c r="H13" s="94" t="s">
        <v>91</v>
      </c>
      <c r="I13" s="95"/>
    </row>
    <row r="14" spans="1:9" ht="15.5" x14ac:dyDescent="0.35">
      <c r="A14" s="18" t="s">
        <v>92</v>
      </c>
      <c r="B14" s="19" t="s">
        <v>93</v>
      </c>
      <c r="C14" s="20">
        <f>SUM('Stavební rozpočet'!AB12:AB267)</f>
        <v>0</v>
      </c>
      <c r="D14" s="103" t="s">
        <v>94</v>
      </c>
      <c r="E14" s="104"/>
      <c r="F14" s="20">
        <f>VORN!I15</f>
        <v>0</v>
      </c>
      <c r="G14" s="103" t="s">
        <v>78</v>
      </c>
      <c r="H14" s="104"/>
      <c r="I14" s="21">
        <f>VORN!I21</f>
        <v>0</v>
      </c>
    </row>
    <row r="15" spans="1:9" ht="15.5" x14ac:dyDescent="0.35">
      <c r="A15" s="22" t="s">
        <v>19</v>
      </c>
      <c r="B15" s="19" t="s">
        <v>95</v>
      </c>
      <c r="C15" s="20">
        <f>SUM('Stavební rozpočet'!AC12:AC267)</f>
        <v>0</v>
      </c>
      <c r="D15" s="103" t="s">
        <v>96</v>
      </c>
      <c r="E15" s="104"/>
      <c r="F15" s="20">
        <f>VORN!I16</f>
        <v>0</v>
      </c>
      <c r="G15" s="103" t="s">
        <v>97</v>
      </c>
      <c r="H15" s="104"/>
      <c r="I15" s="21">
        <f>VORN!I22</f>
        <v>0</v>
      </c>
    </row>
    <row r="16" spans="1:9" ht="15.5" x14ac:dyDescent="0.35">
      <c r="A16" s="18" t="s">
        <v>98</v>
      </c>
      <c r="B16" s="19" t="s">
        <v>93</v>
      </c>
      <c r="C16" s="20">
        <f>SUM('Stavební rozpočet'!AD12:AD267)</f>
        <v>0</v>
      </c>
      <c r="D16" s="103" t="s">
        <v>99</v>
      </c>
      <c r="E16" s="104"/>
      <c r="F16" s="20">
        <f>VORN!I17</f>
        <v>0</v>
      </c>
      <c r="G16" s="103" t="s">
        <v>100</v>
      </c>
      <c r="H16" s="104"/>
      <c r="I16" s="21">
        <f>VORN!I23</f>
        <v>0</v>
      </c>
    </row>
    <row r="17" spans="1:9" ht="15.5" x14ac:dyDescent="0.35">
      <c r="A17" s="22" t="s">
        <v>19</v>
      </c>
      <c r="B17" s="19" t="s">
        <v>95</v>
      </c>
      <c r="C17" s="20">
        <f>SUM('Stavební rozpočet'!AE12:AE267)</f>
        <v>0</v>
      </c>
      <c r="D17" s="103" t="s">
        <v>19</v>
      </c>
      <c r="E17" s="104"/>
      <c r="F17" s="21" t="s">
        <v>19</v>
      </c>
      <c r="G17" s="103" t="s">
        <v>101</v>
      </c>
      <c r="H17" s="104"/>
      <c r="I17" s="21">
        <f>VORN!I24</f>
        <v>0</v>
      </c>
    </row>
    <row r="18" spans="1:9" ht="15.5" x14ac:dyDescent="0.35">
      <c r="A18" s="18" t="s">
        <v>102</v>
      </c>
      <c r="B18" s="19" t="s">
        <v>93</v>
      </c>
      <c r="C18" s="20">
        <f>SUM('Stavební rozpočet'!AF12:AF267)</f>
        <v>0</v>
      </c>
      <c r="D18" s="103" t="s">
        <v>19</v>
      </c>
      <c r="E18" s="104"/>
      <c r="F18" s="21" t="s">
        <v>19</v>
      </c>
      <c r="G18" s="103" t="s">
        <v>103</v>
      </c>
      <c r="H18" s="104"/>
      <c r="I18" s="21">
        <f>VORN!I25</f>
        <v>0</v>
      </c>
    </row>
    <row r="19" spans="1:9" ht="15.5" x14ac:dyDescent="0.35">
      <c r="A19" s="22" t="s">
        <v>19</v>
      </c>
      <c r="B19" s="19" t="s">
        <v>95</v>
      </c>
      <c r="C19" s="20">
        <f>SUM('Stavební rozpočet'!AG12:AG267)</f>
        <v>0</v>
      </c>
      <c r="D19" s="103" t="s">
        <v>19</v>
      </c>
      <c r="E19" s="104"/>
      <c r="F19" s="21" t="s">
        <v>19</v>
      </c>
      <c r="G19" s="103" t="s">
        <v>104</v>
      </c>
      <c r="H19" s="104"/>
      <c r="I19" s="21">
        <f>VORN!I26</f>
        <v>0</v>
      </c>
    </row>
    <row r="20" spans="1:9" ht="15.5" x14ac:dyDescent="0.35">
      <c r="A20" s="97" t="s">
        <v>105</v>
      </c>
      <c r="B20" s="98"/>
      <c r="C20" s="20">
        <f>SUM('Stavební rozpočet'!AH12:AH267)</f>
        <v>0</v>
      </c>
      <c r="D20" s="103" t="s">
        <v>19</v>
      </c>
      <c r="E20" s="104"/>
      <c r="F20" s="21" t="s">
        <v>19</v>
      </c>
      <c r="G20" s="103" t="s">
        <v>19</v>
      </c>
      <c r="H20" s="104"/>
      <c r="I20" s="21" t="s">
        <v>19</v>
      </c>
    </row>
    <row r="21" spans="1:9" ht="15.5" x14ac:dyDescent="0.35">
      <c r="A21" s="99" t="s">
        <v>106</v>
      </c>
      <c r="B21" s="100"/>
      <c r="C21" s="23">
        <f>SUM('Stavební rozpočet'!Z12:Z267)</f>
        <v>0</v>
      </c>
      <c r="D21" s="105" t="s">
        <v>19</v>
      </c>
      <c r="E21" s="106"/>
      <c r="F21" s="24" t="s">
        <v>19</v>
      </c>
      <c r="G21" s="105" t="s">
        <v>19</v>
      </c>
      <c r="H21" s="106"/>
      <c r="I21" s="24" t="s">
        <v>19</v>
      </c>
    </row>
    <row r="22" spans="1:9" ht="16.5" customHeight="1" x14ac:dyDescent="0.35">
      <c r="A22" s="101" t="s">
        <v>107</v>
      </c>
      <c r="B22" s="102"/>
      <c r="C22" s="25">
        <f>SUM(C14:C21)</f>
        <v>0</v>
      </c>
      <c r="D22" s="107" t="s">
        <v>108</v>
      </c>
      <c r="E22" s="102"/>
      <c r="F22" s="25">
        <f>SUM(F14:F21)</f>
        <v>0</v>
      </c>
      <c r="G22" s="107" t="s">
        <v>109</v>
      </c>
      <c r="H22" s="102"/>
      <c r="I22" s="25">
        <f>SUM(I14:I21)</f>
        <v>0</v>
      </c>
    </row>
    <row r="23" spans="1:9" ht="15.5" x14ac:dyDescent="0.35">
      <c r="D23" s="97" t="s">
        <v>110</v>
      </c>
      <c r="E23" s="98"/>
      <c r="F23" s="26">
        <v>0</v>
      </c>
      <c r="G23" s="108" t="s">
        <v>111</v>
      </c>
      <c r="H23" s="98"/>
      <c r="I23" s="20">
        <v>0</v>
      </c>
    </row>
    <row r="24" spans="1:9" ht="15.5" x14ac:dyDescent="0.35">
      <c r="G24" s="97" t="s">
        <v>112</v>
      </c>
      <c r="H24" s="98"/>
      <c r="I24" s="23">
        <f>vorn_sum</f>
        <v>0</v>
      </c>
    </row>
    <row r="25" spans="1:9" ht="15.5" x14ac:dyDescent="0.35">
      <c r="G25" s="97" t="s">
        <v>113</v>
      </c>
      <c r="H25" s="98"/>
      <c r="I25" s="25">
        <v>0</v>
      </c>
    </row>
    <row r="27" spans="1:9" ht="15.5" x14ac:dyDescent="0.35">
      <c r="A27" s="109" t="s">
        <v>114</v>
      </c>
      <c r="B27" s="110"/>
      <c r="C27" s="27">
        <f>SUM('Stavební rozpočet'!AJ12:AJ267)</f>
        <v>0</v>
      </c>
    </row>
    <row r="28" spans="1:9" ht="15.5" x14ac:dyDescent="0.35">
      <c r="A28" s="111" t="s">
        <v>115</v>
      </c>
      <c r="B28" s="112"/>
      <c r="C28" s="28">
        <f>SUM('Stavební rozpočet'!AK12:AK267)</f>
        <v>0</v>
      </c>
      <c r="D28" s="113" t="s">
        <v>116</v>
      </c>
      <c r="E28" s="110"/>
      <c r="F28" s="27">
        <f>ROUND(C28*(12/100),2)</f>
        <v>0</v>
      </c>
      <c r="G28" s="113" t="s">
        <v>117</v>
      </c>
      <c r="H28" s="110"/>
      <c r="I28" s="27">
        <f>SUM(C27:C29)</f>
        <v>0</v>
      </c>
    </row>
    <row r="29" spans="1:9" ht="15.5" x14ac:dyDescent="0.35">
      <c r="A29" s="111" t="s">
        <v>118</v>
      </c>
      <c r="B29" s="112"/>
      <c r="C29" s="28">
        <f>SUM('Stavební rozpočet'!AL12:AL267)</f>
        <v>0</v>
      </c>
      <c r="D29" s="114" t="s">
        <v>119</v>
      </c>
      <c r="E29" s="112"/>
      <c r="F29" s="28">
        <f>ROUND(C29*(21/100),2)</f>
        <v>0</v>
      </c>
      <c r="G29" s="114" t="s">
        <v>120</v>
      </c>
      <c r="H29" s="112"/>
      <c r="I29" s="28">
        <f>SUM(F28:F29)+I28</f>
        <v>0</v>
      </c>
    </row>
    <row r="31" spans="1:9" ht="15.5" x14ac:dyDescent="0.35">
      <c r="A31" s="124" t="s">
        <v>121</v>
      </c>
      <c r="B31" s="116"/>
      <c r="C31" s="117"/>
      <c r="D31" s="115" t="s">
        <v>122</v>
      </c>
      <c r="E31" s="116"/>
      <c r="F31" s="117"/>
      <c r="G31" s="115" t="s">
        <v>123</v>
      </c>
      <c r="H31" s="116"/>
      <c r="I31" s="117"/>
    </row>
    <row r="32" spans="1:9" ht="15.5" x14ac:dyDescent="0.35">
      <c r="A32" s="125" t="s">
        <v>19</v>
      </c>
      <c r="B32" s="119"/>
      <c r="C32" s="120"/>
      <c r="D32" s="118" t="s">
        <v>19</v>
      </c>
      <c r="E32" s="119"/>
      <c r="F32" s="120"/>
      <c r="G32" s="118" t="s">
        <v>19</v>
      </c>
      <c r="H32" s="119"/>
      <c r="I32" s="120"/>
    </row>
    <row r="33" spans="1:9" ht="15.5" x14ac:dyDescent="0.35">
      <c r="A33" s="125" t="s">
        <v>19</v>
      </c>
      <c r="B33" s="119"/>
      <c r="C33" s="120"/>
      <c r="D33" s="118" t="s">
        <v>19</v>
      </c>
      <c r="E33" s="119"/>
      <c r="F33" s="120"/>
      <c r="G33" s="118" t="s">
        <v>19</v>
      </c>
      <c r="H33" s="119"/>
      <c r="I33" s="120"/>
    </row>
    <row r="34" spans="1:9" ht="15.5" x14ac:dyDescent="0.35">
      <c r="A34" s="125" t="s">
        <v>19</v>
      </c>
      <c r="B34" s="119"/>
      <c r="C34" s="120"/>
      <c r="D34" s="118" t="s">
        <v>19</v>
      </c>
      <c r="E34" s="119"/>
      <c r="F34" s="120"/>
      <c r="G34" s="118" t="s">
        <v>19</v>
      </c>
      <c r="H34" s="119"/>
      <c r="I34" s="120"/>
    </row>
    <row r="35" spans="1:9" ht="15.5" x14ac:dyDescent="0.35">
      <c r="A35" s="126" t="s">
        <v>124</v>
      </c>
      <c r="B35" s="122"/>
      <c r="C35" s="123"/>
      <c r="D35" s="121" t="s">
        <v>124</v>
      </c>
      <c r="E35" s="122"/>
      <c r="F35" s="123"/>
      <c r="G35" s="121" t="s">
        <v>124</v>
      </c>
      <c r="H35" s="122"/>
      <c r="I35" s="123"/>
    </row>
    <row r="36" spans="1:9" ht="14.5" x14ac:dyDescent="0.35">
      <c r="A36" s="29" t="s">
        <v>125</v>
      </c>
    </row>
    <row r="37" spans="1:9" ht="12.75" customHeight="1" x14ac:dyDescent="0.35">
      <c r="A37" s="81" t="s">
        <v>19</v>
      </c>
      <c r="B37" s="75"/>
      <c r="C37" s="75"/>
      <c r="D37" s="75"/>
      <c r="E37" s="75"/>
      <c r="F37" s="75"/>
      <c r="G37" s="75"/>
      <c r="H37" s="75"/>
      <c r="I37" s="75"/>
    </row>
  </sheetData>
  <sheetProtection algorithmName="SHA-512" hashValue="YHuBomWJXnZTVj3QnAZM1P+uMOHwNJN/abJMP5hhnfB5RG1ElOPWQFdMS45UoSs9Rq4UsKTljo2ck5sVW9YwDQ==" saltValue="UBOt4HArDnTjN6yLSyHjVQ==" spinCount="100000" sheet="1"/>
  <mergeCells count="83">
    <mergeCell ref="A37:I37"/>
    <mergeCell ref="G31:I31"/>
    <mergeCell ref="G32:I32"/>
    <mergeCell ref="G33:I33"/>
    <mergeCell ref="G34:I34"/>
    <mergeCell ref="G35:I35"/>
    <mergeCell ref="D31:F31"/>
    <mergeCell ref="D32:F32"/>
    <mergeCell ref="D33:F33"/>
    <mergeCell ref="D34:F34"/>
    <mergeCell ref="D35:F35"/>
    <mergeCell ref="A31:C31"/>
    <mergeCell ref="A32:C32"/>
    <mergeCell ref="A33:C33"/>
    <mergeCell ref="A34:C34"/>
    <mergeCell ref="A35:C35"/>
    <mergeCell ref="G24:H24"/>
    <mergeCell ref="G25:H25"/>
    <mergeCell ref="A27:B27"/>
    <mergeCell ref="A28:B28"/>
    <mergeCell ref="A29:B29"/>
    <mergeCell ref="D28:E28"/>
    <mergeCell ref="D29:E29"/>
    <mergeCell ref="G28:H28"/>
    <mergeCell ref="G29:H29"/>
    <mergeCell ref="D23:E23"/>
    <mergeCell ref="G14:H14"/>
    <mergeCell ref="G15:H15"/>
    <mergeCell ref="G16:H16"/>
    <mergeCell ref="G17:H17"/>
    <mergeCell ref="G18:H18"/>
    <mergeCell ref="G19:H19"/>
    <mergeCell ref="G20:H20"/>
    <mergeCell ref="G21:H21"/>
    <mergeCell ref="G22:H22"/>
    <mergeCell ref="G23:H23"/>
    <mergeCell ref="A20:B20"/>
    <mergeCell ref="A21:B21"/>
    <mergeCell ref="A22:B22"/>
    <mergeCell ref="D14:E14"/>
    <mergeCell ref="D15:E15"/>
    <mergeCell ref="D16:E16"/>
    <mergeCell ref="D17:E17"/>
    <mergeCell ref="D18:E18"/>
    <mergeCell ref="D19:E19"/>
    <mergeCell ref="D20:E20"/>
    <mergeCell ref="D21:E21"/>
    <mergeCell ref="D22:E22"/>
    <mergeCell ref="I10:I11"/>
    <mergeCell ref="A12:I12"/>
    <mergeCell ref="B13:C13"/>
    <mergeCell ref="E13:F13"/>
    <mergeCell ref="H13:I13"/>
    <mergeCell ref="F10:G11"/>
    <mergeCell ref="A10:B11"/>
    <mergeCell ref="H2:H3"/>
    <mergeCell ref="H4:H5"/>
    <mergeCell ref="H6:H7"/>
    <mergeCell ref="H8:H9"/>
    <mergeCell ref="H10:H11"/>
    <mergeCell ref="C8:D9"/>
    <mergeCell ref="C10:D11"/>
    <mergeCell ref="E2:E3"/>
    <mergeCell ref="E4:E5"/>
    <mergeCell ref="E6:E7"/>
    <mergeCell ref="E8:E9"/>
    <mergeCell ref="E10:E11"/>
    <mergeCell ref="A1:I1"/>
    <mergeCell ref="A2:B3"/>
    <mergeCell ref="A4:B5"/>
    <mergeCell ref="A6:B7"/>
    <mergeCell ref="A8:B9"/>
    <mergeCell ref="F2:G3"/>
    <mergeCell ref="F4:G5"/>
    <mergeCell ref="F6:G7"/>
    <mergeCell ref="F8:G9"/>
    <mergeCell ref="I2:I3"/>
    <mergeCell ref="I4:I5"/>
    <mergeCell ref="I6:I7"/>
    <mergeCell ref="I8:I9"/>
    <mergeCell ref="C2:D3"/>
    <mergeCell ref="C4:D5"/>
    <mergeCell ref="C6:D7"/>
  </mergeCells>
  <pageMargins left="0.393999993801117" right="0.393999993801117" top="0.59100002050399802" bottom="0.59100002050399802"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5"/>
  <sheetViews>
    <sheetView workbookViewId="0">
      <selection activeCell="A45" sqref="A45:E45"/>
    </sheetView>
  </sheetViews>
  <sheetFormatPr defaultColWidth="12.1796875" defaultRowHeight="15" customHeight="1" x14ac:dyDescent="0.35"/>
  <cols>
    <col min="1" max="1" width="9.1796875" customWidth="1"/>
    <col min="2" max="2" width="12.81640625" customWidth="1"/>
    <col min="3" max="3" width="22.81640625" customWidth="1"/>
    <col min="4" max="4" width="10" customWidth="1"/>
    <col min="5" max="5" width="14" customWidth="1"/>
    <col min="6" max="6" width="22.81640625" customWidth="1"/>
    <col min="7" max="7" width="9.1796875" customWidth="1"/>
    <col min="8" max="8" width="17.1796875" customWidth="1"/>
    <col min="9" max="9" width="22.81640625" customWidth="1"/>
  </cols>
  <sheetData>
    <row r="1" spans="1:9" ht="54.75" customHeight="1" x14ac:dyDescent="0.35">
      <c r="A1" s="88" t="s">
        <v>76</v>
      </c>
      <c r="B1" s="71"/>
      <c r="C1" s="71"/>
      <c r="D1" s="71"/>
      <c r="E1" s="71"/>
      <c r="F1" s="71"/>
      <c r="G1" s="71"/>
      <c r="H1" s="71"/>
      <c r="I1" s="71"/>
    </row>
    <row r="2" spans="1:9" ht="14.5" x14ac:dyDescent="0.35">
      <c r="A2" s="72" t="s">
        <v>1</v>
      </c>
      <c r="B2" s="73"/>
      <c r="C2" s="82" t="str">
        <f>'Stavební rozpočet'!C2</f>
        <v>Oprava sociálního zařízení v krytém bazénu Chrudim</v>
      </c>
      <c r="D2" s="91"/>
      <c r="E2" s="80" t="s">
        <v>4</v>
      </c>
      <c r="F2" s="80" t="str">
        <f>'Stavební rozpočet'!I2</f>
        <v>Sportovní areály města Chrudim s.r.o.</v>
      </c>
      <c r="G2" s="73"/>
      <c r="H2" s="80" t="s">
        <v>81</v>
      </c>
      <c r="I2" s="89" t="s">
        <v>19</v>
      </c>
    </row>
    <row r="3" spans="1:9" ht="15" customHeight="1" x14ac:dyDescent="0.35">
      <c r="A3" s="74"/>
      <c r="B3" s="75"/>
      <c r="C3" s="83"/>
      <c r="D3" s="83"/>
      <c r="E3" s="75"/>
      <c r="F3" s="75"/>
      <c r="G3" s="75"/>
      <c r="H3" s="75"/>
      <c r="I3" s="85"/>
    </row>
    <row r="4" spans="1:9" ht="14.5" x14ac:dyDescent="0.35">
      <c r="A4" s="76" t="s">
        <v>5</v>
      </c>
      <c r="B4" s="75"/>
      <c r="C4" s="81" t="str">
        <f>'Stavební rozpočet'!C4</f>
        <v>oprava</v>
      </c>
      <c r="D4" s="75"/>
      <c r="E4" s="81" t="s">
        <v>7</v>
      </c>
      <c r="F4" s="81" t="str">
        <f>'Stavební rozpočet'!I4</f>
        <v>ing. Petr Linek</v>
      </c>
      <c r="G4" s="75"/>
      <c r="H4" s="81" t="s">
        <v>81</v>
      </c>
      <c r="I4" s="85" t="s">
        <v>19</v>
      </c>
    </row>
    <row r="5" spans="1:9" ht="15" customHeight="1" x14ac:dyDescent="0.35">
      <c r="A5" s="74"/>
      <c r="B5" s="75"/>
      <c r="C5" s="75"/>
      <c r="D5" s="75"/>
      <c r="E5" s="75"/>
      <c r="F5" s="75"/>
      <c r="G5" s="75"/>
      <c r="H5" s="75"/>
      <c r="I5" s="85"/>
    </row>
    <row r="6" spans="1:9" ht="14.5" x14ac:dyDescent="0.35">
      <c r="A6" s="76" t="s">
        <v>8</v>
      </c>
      <c r="B6" s="75"/>
      <c r="C6" s="81" t="str">
        <f>'Stavební rozpočet'!C6</f>
        <v>Chrudim</v>
      </c>
      <c r="D6" s="75"/>
      <c r="E6" s="81" t="s">
        <v>10</v>
      </c>
      <c r="F6" s="81" t="str">
        <f>'Stavební rozpočet'!I6</f>
        <v> </v>
      </c>
      <c r="G6" s="75"/>
      <c r="H6" s="81" t="s">
        <v>81</v>
      </c>
      <c r="I6" s="85" t="s">
        <v>19</v>
      </c>
    </row>
    <row r="7" spans="1:9" ht="15" customHeight="1" x14ac:dyDescent="0.35">
      <c r="A7" s="74"/>
      <c r="B7" s="75"/>
      <c r="C7" s="75"/>
      <c r="D7" s="75"/>
      <c r="E7" s="75"/>
      <c r="F7" s="75"/>
      <c r="G7" s="75"/>
      <c r="H7" s="75"/>
      <c r="I7" s="85"/>
    </row>
    <row r="8" spans="1:9" ht="14.5" x14ac:dyDescent="0.35">
      <c r="A8" s="76" t="s">
        <v>6</v>
      </c>
      <c r="B8" s="75"/>
      <c r="C8" s="81" t="str">
        <f>'Stavební rozpočet'!G4</f>
        <v xml:space="preserve"> </v>
      </c>
      <c r="D8" s="75"/>
      <c r="E8" s="81" t="s">
        <v>9</v>
      </c>
      <c r="F8" s="81" t="str">
        <f>'Stavební rozpočet'!G6</f>
        <v xml:space="preserve"> </v>
      </c>
      <c r="G8" s="75"/>
      <c r="H8" s="75" t="s">
        <v>82</v>
      </c>
      <c r="I8" s="90">
        <v>167</v>
      </c>
    </row>
    <row r="9" spans="1:9" ht="14.5" x14ac:dyDescent="0.35">
      <c r="A9" s="74"/>
      <c r="B9" s="75"/>
      <c r="C9" s="75"/>
      <c r="D9" s="75"/>
      <c r="E9" s="75"/>
      <c r="F9" s="75"/>
      <c r="G9" s="75"/>
      <c r="H9" s="75"/>
      <c r="I9" s="85"/>
    </row>
    <row r="10" spans="1:9" ht="14.5" x14ac:dyDescent="0.35">
      <c r="A10" s="76" t="s">
        <v>83</v>
      </c>
      <c r="B10" s="75"/>
      <c r="C10" s="81" t="str">
        <f>'Stavební rozpočet'!C8</f>
        <v xml:space="preserve"> </v>
      </c>
      <c r="D10" s="75"/>
      <c r="E10" s="81" t="s">
        <v>11</v>
      </c>
      <c r="F10" s="81" t="str">
        <f>'Stavební rozpočet'!I8</f>
        <v>Zdeňka Altová</v>
      </c>
      <c r="G10" s="75"/>
      <c r="H10" s="75" t="s">
        <v>84</v>
      </c>
      <c r="I10" s="86">
        <f>'Stavební rozpočet'!G8</f>
        <v>45685</v>
      </c>
    </row>
    <row r="11" spans="1:9" ht="14.5" x14ac:dyDescent="0.35">
      <c r="A11" s="96"/>
      <c r="B11" s="79"/>
      <c r="C11" s="79"/>
      <c r="D11" s="79"/>
      <c r="E11" s="79"/>
      <c r="F11" s="79"/>
      <c r="G11" s="79"/>
      <c r="H11" s="79"/>
      <c r="I11" s="92"/>
    </row>
    <row r="13" spans="1:9" ht="15.5" x14ac:dyDescent="0.35">
      <c r="A13" s="127" t="s">
        <v>126</v>
      </c>
      <c r="B13" s="127"/>
      <c r="C13" s="127"/>
      <c r="D13" s="127"/>
      <c r="E13" s="127"/>
    </row>
    <row r="14" spans="1:9" ht="14.5" x14ac:dyDescent="0.35">
      <c r="A14" s="128" t="s">
        <v>127</v>
      </c>
      <c r="B14" s="129"/>
      <c r="C14" s="129"/>
      <c r="D14" s="129"/>
      <c r="E14" s="130"/>
      <c r="F14" s="30" t="s">
        <v>128</v>
      </c>
      <c r="G14" s="30" t="s">
        <v>129</v>
      </c>
      <c r="H14" s="30" t="s">
        <v>130</v>
      </c>
      <c r="I14" s="30" t="s">
        <v>128</v>
      </c>
    </row>
    <row r="15" spans="1:9" ht="14.5" x14ac:dyDescent="0.35">
      <c r="A15" s="131" t="s">
        <v>94</v>
      </c>
      <c r="B15" s="132"/>
      <c r="C15" s="132"/>
      <c r="D15" s="132"/>
      <c r="E15" s="133"/>
      <c r="F15" s="31">
        <v>0</v>
      </c>
      <c r="G15" s="32" t="s">
        <v>19</v>
      </c>
      <c r="H15" s="32" t="s">
        <v>19</v>
      </c>
      <c r="I15" s="31">
        <f>F15</f>
        <v>0</v>
      </c>
    </row>
    <row r="16" spans="1:9" ht="14.5" x14ac:dyDescent="0.35">
      <c r="A16" s="131" t="s">
        <v>96</v>
      </c>
      <c r="B16" s="132"/>
      <c r="C16" s="132"/>
      <c r="D16" s="132"/>
      <c r="E16" s="133"/>
      <c r="F16" s="31">
        <v>0</v>
      </c>
      <c r="G16" s="32" t="s">
        <v>19</v>
      </c>
      <c r="H16" s="32" t="s">
        <v>19</v>
      </c>
      <c r="I16" s="31">
        <f>F16</f>
        <v>0</v>
      </c>
    </row>
    <row r="17" spans="1:9" ht="14.5" x14ac:dyDescent="0.35">
      <c r="A17" s="134" t="s">
        <v>99</v>
      </c>
      <c r="B17" s="135"/>
      <c r="C17" s="135"/>
      <c r="D17" s="135"/>
      <c r="E17" s="136"/>
      <c r="F17" s="33">
        <v>0</v>
      </c>
      <c r="G17" s="34" t="s">
        <v>19</v>
      </c>
      <c r="H17" s="34" t="s">
        <v>19</v>
      </c>
      <c r="I17" s="33">
        <f>F17</f>
        <v>0</v>
      </c>
    </row>
    <row r="18" spans="1:9" ht="14.5" x14ac:dyDescent="0.35">
      <c r="A18" s="137" t="s">
        <v>131</v>
      </c>
      <c r="B18" s="138"/>
      <c r="C18" s="138"/>
      <c r="D18" s="138"/>
      <c r="E18" s="139"/>
      <c r="F18" s="35" t="s">
        <v>19</v>
      </c>
      <c r="G18" s="36" t="s">
        <v>19</v>
      </c>
      <c r="H18" s="36" t="s">
        <v>19</v>
      </c>
      <c r="I18" s="37">
        <f>SUM(I15:I17)</f>
        <v>0</v>
      </c>
    </row>
    <row r="20" spans="1:9" ht="14.5" x14ac:dyDescent="0.35">
      <c r="A20" s="128" t="s">
        <v>91</v>
      </c>
      <c r="B20" s="129"/>
      <c r="C20" s="129"/>
      <c r="D20" s="129"/>
      <c r="E20" s="130"/>
      <c r="F20" s="30" t="s">
        <v>128</v>
      </c>
      <c r="G20" s="30" t="s">
        <v>129</v>
      </c>
      <c r="H20" s="30" t="s">
        <v>130</v>
      </c>
      <c r="I20" s="30" t="s">
        <v>128</v>
      </c>
    </row>
    <row r="21" spans="1:9" ht="14.5" x14ac:dyDescent="0.35">
      <c r="A21" s="131" t="s">
        <v>78</v>
      </c>
      <c r="B21" s="132"/>
      <c r="C21" s="132"/>
      <c r="D21" s="132"/>
      <c r="E21" s="133"/>
      <c r="F21" s="31">
        <v>0</v>
      </c>
      <c r="G21" s="32" t="s">
        <v>19</v>
      </c>
      <c r="H21" s="32" t="s">
        <v>19</v>
      </c>
      <c r="I21" s="31">
        <f t="shared" ref="I21:I26" si="0">F21</f>
        <v>0</v>
      </c>
    </row>
    <row r="22" spans="1:9" ht="14.5" x14ac:dyDescent="0.35">
      <c r="A22" s="131" t="s">
        <v>97</v>
      </c>
      <c r="B22" s="132"/>
      <c r="C22" s="132"/>
      <c r="D22" s="132"/>
      <c r="E22" s="133"/>
      <c r="F22" s="31">
        <v>0</v>
      </c>
      <c r="G22" s="32" t="s">
        <v>19</v>
      </c>
      <c r="H22" s="32" t="s">
        <v>19</v>
      </c>
      <c r="I22" s="31">
        <f t="shared" si="0"/>
        <v>0</v>
      </c>
    </row>
    <row r="23" spans="1:9" ht="14.5" x14ac:dyDescent="0.35">
      <c r="A23" s="131" t="s">
        <v>100</v>
      </c>
      <c r="B23" s="132"/>
      <c r="C23" s="132"/>
      <c r="D23" s="132"/>
      <c r="E23" s="133"/>
      <c r="F23" s="31">
        <v>0</v>
      </c>
      <c r="G23" s="32" t="s">
        <v>19</v>
      </c>
      <c r="H23" s="32" t="s">
        <v>19</v>
      </c>
      <c r="I23" s="31">
        <f t="shared" si="0"/>
        <v>0</v>
      </c>
    </row>
    <row r="24" spans="1:9" ht="14.5" x14ac:dyDescent="0.35">
      <c r="A24" s="131" t="s">
        <v>101</v>
      </c>
      <c r="B24" s="132"/>
      <c r="C24" s="132"/>
      <c r="D24" s="132"/>
      <c r="E24" s="133"/>
      <c r="F24" s="31">
        <v>0</v>
      </c>
      <c r="G24" s="32" t="s">
        <v>19</v>
      </c>
      <c r="H24" s="32" t="s">
        <v>19</v>
      </c>
      <c r="I24" s="31">
        <f t="shared" si="0"/>
        <v>0</v>
      </c>
    </row>
    <row r="25" spans="1:9" ht="14.5" x14ac:dyDescent="0.35">
      <c r="A25" s="131" t="s">
        <v>103</v>
      </c>
      <c r="B25" s="132"/>
      <c r="C25" s="132"/>
      <c r="D25" s="132"/>
      <c r="E25" s="133"/>
      <c r="F25" s="31">
        <v>0</v>
      </c>
      <c r="G25" s="32" t="s">
        <v>19</v>
      </c>
      <c r="H25" s="32" t="s">
        <v>19</v>
      </c>
      <c r="I25" s="31">
        <f t="shared" si="0"/>
        <v>0</v>
      </c>
    </row>
    <row r="26" spans="1:9" ht="14.5" x14ac:dyDescent="0.35">
      <c r="A26" s="134" t="s">
        <v>104</v>
      </c>
      <c r="B26" s="135"/>
      <c r="C26" s="135"/>
      <c r="D26" s="135"/>
      <c r="E26" s="136"/>
      <c r="F26" s="33">
        <v>0</v>
      </c>
      <c r="G26" s="34" t="s">
        <v>19</v>
      </c>
      <c r="H26" s="34" t="s">
        <v>19</v>
      </c>
      <c r="I26" s="33">
        <f t="shared" si="0"/>
        <v>0</v>
      </c>
    </row>
    <row r="27" spans="1:9" ht="14.5" x14ac:dyDescent="0.35">
      <c r="A27" s="137" t="s">
        <v>132</v>
      </c>
      <c r="B27" s="138"/>
      <c r="C27" s="138"/>
      <c r="D27" s="138"/>
      <c r="E27" s="139"/>
      <c r="F27" s="35" t="s">
        <v>19</v>
      </c>
      <c r="G27" s="36" t="s">
        <v>19</v>
      </c>
      <c r="H27" s="36" t="s">
        <v>19</v>
      </c>
      <c r="I27" s="37">
        <f>SUM(I21:I26)</f>
        <v>0</v>
      </c>
    </row>
    <row r="29" spans="1:9" ht="15.5" x14ac:dyDescent="0.35">
      <c r="A29" s="140" t="s">
        <v>133</v>
      </c>
      <c r="B29" s="141"/>
      <c r="C29" s="141"/>
      <c r="D29" s="141"/>
      <c r="E29" s="142"/>
      <c r="F29" s="143">
        <f>I18+I27</f>
        <v>0</v>
      </c>
      <c r="G29" s="144"/>
      <c r="H29" s="144"/>
      <c r="I29" s="145"/>
    </row>
    <row r="33" spans="1:9" ht="15.5" x14ac:dyDescent="0.35">
      <c r="A33" s="127" t="s">
        <v>134</v>
      </c>
      <c r="B33" s="127"/>
      <c r="C33" s="127"/>
      <c r="D33" s="127"/>
      <c r="E33" s="127"/>
    </row>
    <row r="34" spans="1:9" ht="14.5" x14ac:dyDescent="0.35">
      <c r="A34" s="128" t="s">
        <v>135</v>
      </c>
      <c r="B34" s="129"/>
      <c r="C34" s="129"/>
      <c r="D34" s="129"/>
      <c r="E34" s="130"/>
      <c r="F34" s="30" t="s">
        <v>128</v>
      </c>
      <c r="G34" s="30" t="s">
        <v>129</v>
      </c>
      <c r="H34" s="30" t="s">
        <v>130</v>
      </c>
      <c r="I34" s="30" t="s">
        <v>128</v>
      </c>
    </row>
    <row r="35" spans="1:9" ht="14.5" x14ac:dyDescent="0.35">
      <c r="A35" s="131" t="s">
        <v>136</v>
      </c>
      <c r="B35" s="132"/>
      <c r="C35" s="132"/>
      <c r="D35" s="132"/>
      <c r="E35" s="133"/>
      <c r="F35" s="31">
        <f>SUM('Stavební rozpočet'!BM12:BM267)</f>
        <v>0</v>
      </c>
      <c r="G35" s="32" t="s">
        <v>19</v>
      </c>
      <c r="H35" s="32" t="s">
        <v>19</v>
      </c>
      <c r="I35" s="31">
        <f t="shared" ref="I35:I44" si="1">F35</f>
        <v>0</v>
      </c>
    </row>
    <row r="36" spans="1:9" ht="14.5" x14ac:dyDescent="0.35">
      <c r="A36" s="131" t="s">
        <v>137</v>
      </c>
      <c r="B36" s="132"/>
      <c r="C36" s="132"/>
      <c r="D36" s="132"/>
      <c r="E36" s="133"/>
      <c r="F36" s="31">
        <f>SUM('Stavební rozpočet'!BN12:BN267)</f>
        <v>0</v>
      </c>
      <c r="G36" s="32" t="s">
        <v>19</v>
      </c>
      <c r="H36" s="32" t="s">
        <v>19</v>
      </c>
      <c r="I36" s="31">
        <f t="shared" si="1"/>
        <v>0</v>
      </c>
    </row>
    <row r="37" spans="1:9" ht="14.5" x14ac:dyDescent="0.35">
      <c r="A37" s="131" t="s">
        <v>78</v>
      </c>
      <c r="B37" s="132"/>
      <c r="C37" s="132"/>
      <c r="D37" s="132"/>
      <c r="E37" s="133"/>
      <c r="F37" s="31">
        <f>SUM('Stavební rozpočet'!BO12:BO267)</f>
        <v>0</v>
      </c>
      <c r="G37" s="32" t="s">
        <v>19</v>
      </c>
      <c r="H37" s="32" t="s">
        <v>19</v>
      </c>
      <c r="I37" s="31">
        <f t="shared" si="1"/>
        <v>0</v>
      </c>
    </row>
    <row r="38" spans="1:9" ht="14.5" x14ac:dyDescent="0.35">
      <c r="A38" s="131" t="s">
        <v>138</v>
      </c>
      <c r="B38" s="132"/>
      <c r="C38" s="132"/>
      <c r="D38" s="132"/>
      <c r="E38" s="133"/>
      <c r="F38" s="31">
        <f>SUM('Stavební rozpočet'!BP12:BP267)</f>
        <v>0</v>
      </c>
      <c r="G38" s="32" t="s">
        <v>19</v>
      </c>
      <c r="H38" s="32" t="s">
        <v>19</v>
      </c>
      <c r="I38" s="31">
        <f t="shared" si="1"/>
        <v>0</v>
      </c>
    </row>
    <row r="39" spans="1:9" ht="14.5" x14ac:dyDescent="0.35">
      <c r="A39" s="131" t="s">
        <v>139</v>
      </c>
      <c r="B39" s="132"/>
      <c r="C39" s="132"/>
      <c r="D39" s="132"/>
      <c r="E39" s="133"/>
      <c r="F39" s="31">
        <f>SUM('Stavební rozpočet'!BQ12:BQ267)</f>
        <v>0</v>
      </c>
      <c r="G39" s="32" t="s">
        <v>19</v>
      </c>
      <c r="H39" s="32" t="s">
        <v>19</v>
      </c>
      <c r="I39" s="31">
        <f t="shared" si="1"/>
        <v>0</v>
      </c>
    </row>
    <row r="40" spans="1:9" ht="14.5" x14ac:dyDescent="0.35">
      <c r="A40" s="131" t="s">
        <v>100</v>
      </c>
      <c r="B40" s="132"/>
      <c r="C40" s="132"/>
      <c r="D40" s="132"/>
      <c r="E40" s="133"/>
      <c r="F40" s="31">
        <f>SUM('Stavební rozpočet'!BR12:BR267)</f>
        <v>0</v>
      </c>
      <c r="G40" s="32" t="s">
        <v>19</v>
      </c>
      <c r="H40" s="32" t="s">
        <v>19</v>
      </c>
      <c r="I40" s="31">
        <f t="shared" si="1"/>
        <v>0</v>
      </c>
    </row>
    <row r="41" spans="1:9" ht="14.5" x14ac:dyDescent="0.35">
      <c r="A41" s="131" t="s">
        <v>101</v>
      </c>
      <c r="B41" s="132"/>
      <c r="C41" s="132"/>
      <c r="D41" s="132"/>
      <c r="E41" s="133"/>
      <c r="F41" s="31">
        <f>SUM('Stavební rozpočet'!BS12:BS267)</f>
        <v>0</v>
      </c>
      <c r="G41" s="32" t="s">
        <v>19</v>
      </c>
      <c r="H41" s="32" t="s">
        <v>19</v>
      </c>
      <c r="I41" s="31">
        <f t="shared" si="1"/>
        <v>0</v>
      </c>
    </row>
    <row r="42" spans="1:9" ht="14.5" x14ac:dyDescent="0.35">
      <c r="A42" s="131" t="s">
        <v>140</v>
      </c>
      <c r="B42" s="132"/>
      <c r="C42" s="132"/>
      <c r="D42" s="132"/>
      <c r="E42" s="133"/>
      <c r="F42" s="31">
        <f>SUM('Stavební rozpočet'!BT12:BT267)</f>
        <v>0</v>
      </c>
      <c r="G42" s="32" t="s">
        <v>19</v>
      </c>
      <c r="H42" s="32" t="s">
        <v>19</v>
      </c>
      <c r="I42" s="31">
        <f t="shared" si="1"/>
        <v>0</v>
      </c>
    </row>
    <row r="43" spans="1:9" ht="14.5" x14ac:dyDescent="0.35">
      <c r="A43" s="131" t="s">
        <v>141</v>
      </c>
      <c r="B43" s="132"/>
      <c r="C43" s="132"/>
      <c r="D43" s="132"/>
      <c r="E43" s="133"/>
      <c r="F43" s="31">
        <f>SUM('Stavební rozpočet'!BU12:BU267)</f>
        <v>0</v>
      </c>
      <c r="G43" s="32" t="s">
        <v>19</v>
      </c>
      <c r="H43" s="32" t="s">
        <v>19</v>
      </c>
      <c r="I43" s="31">
        <f t="shared" si="1"/>
        <v>0</v>
      </c>
    </row>
    <row r="44" spans="1:9" ht="14.5" x14ac:dyDescent="0.35">
      <c r="A44" s="134" t="s">
        <v>142</v>
      </c>
      <c r="B44" s="135"/>
      <c r="C44" s="135"/>
      <c r="D44" s="135"/>
      <c r="E44" s="136"/>
      <c r="F44" s="33">
        <f>SUM('Stavební rozpočet'!BV12:BV267)</f>
        <v>0</v>
      </c>
      <c r="G44" s="34" t="s">
        <v>19</v>
      </c>
      <c r="H44" s="34" t="s">
        <v>19</v>
      </c>
      <c r="I44" s="33">
        <f t="shared" si="1"/>
        <v>0</v>
      </c>
    </row>
    <row r="45" spans="1:9" ht="14.5" x14ac:dyDescent="0.35">
      <c r="A45" s="137" t="s">
        <v>143</v>
      </c>
      <c r="B45" s="138"/>
      <c r="C45" s="138"/>
      <c r="D45" s="138"/>
      <c r="E45" s="139"/>
      <c r="F45" s="35" t="s">
        <v>19</v>
      </c>
      <c r="G45" s="36" t="s">
        <v>19</v>
      </c>
      <c r="H45" s="36" t="s">
        <v>19</v>
      </c>
      <c r="I45" s="37">
        <f>SUM(I35:I44)</f>
        <v>0</v>
      </c>
    </row>
  </sheetData>
  <sheetProtection password="CC71" sheet="1"/>
  <mergeCells count="60">
    <mergeCell ref="A41:E41"/>
    <mergeCell ref="A42:E42"/>
    <mergeCell ref="A43:E43"/>
    <mergeCell ref="A44:E44"/>
    <mergeCell ref="A45:E45"/>
    <mergeCell ref="A36:E36"/>
    <mergeCell ref="A37:E37"/>
    <mergeCell ref="A38:E38"/>
    <mergeCell ref="A39:E39"/>
    <mergeCell ref="A40:E40"/>
    <mergeCell ref="A29:E29"/>
    <mergeCell ref="F29:I29"/>
    <mergeCell ref="A33:E33"/>
    <mergeCell ref="A34:E34"/>
    <mergeCell ref="A35:E35"/>
    <mergeCell ref="A23:E23"/>
    <mergeCell ref="A24:E24"/>
    <mergeCell ref="A25:E25"/>
    <mergeCell ref="A26:E26"/>
    <mergeCell ref="A27:E27"/>
    <mergeCell ref="A17:E17"/>
    <mergeCell ref="A18:E18"/>
    <mergeCell ref="A20:E20"/>
    <mergeCell ref="A21:E21"/>
    <mergeCell ref="A22:E22"/>
    <mergeCell ref="I10:I11"/>
    <mergeCell ref="A13:E13"/>
    <mergeCell ref="A14:E14"/>
    <mergeCell ref="A15:E15"/>
    <mergeCell ref="A16:E16"/>
    <mergeCell ref="H10:H11"/>
    <mergeCell ref="A10:B11"/>
    <mergeCell ref="C2:D3"/>
    <mergeCell ref="C4:D5"/>
    <mergeCell ref="C6:D7"/>
    <mergeCell ref="C8:D9"/>
    <mergeCell ref="C10:D11"/>
    <mergeCell ref="E8:E9"/>
    <mergeCell ref="E10:E11"/>
    <mergeCell ref="F2:G3"/>
    <mergeCell ref="F4:G5"/>
    <mergeCell ref="F6:G7"/>
    <mergeCell ref="F8:G9"/>
    <mergeCell ref="F10:G11"/>
    <mergeCell ref="A1:I1"/>
    <mergeCell ref="A2:B3"/>
    <mergeCell ref="A4:B5"/>
    <mergeCell ref="A6:B7"/>
    <mergeCell ref="A8:B9"/>
    <mergeCell ref="H2:H3"/>
    <mergeCell ref="H4:H5"/>
    <mergeCell ref="H6:H7"/>
    <mergeCell ref="H8:H9"/>
    <mergeCell ref="I2:I3"/>
    <mergeCell ref="I4:I5"/>
    <mergeCell ref="I6:I7"/>
    <mergeCell ref="I8:I9"/>
    <mergeCell ref="E2:E3"/>
    <mergeCell ref="E4:E5"/>
    <mergeCell ref="E6:E7"/>
  </mergeCells>
  <pageMargins left="0.393999993801117" right="0.393999993801117" top="0.59100002050399802" bottom="0.59100002050399802" header="0" footer="0"/>
  <pageSetup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Z270"/>
  <sheetViews>
    <sheetView workbookViewId="0">
      <pane ySplit="11" topLeftCell="A115" activePane="bottomLeft" state="frozen"/>
      <selection pane="bottomLeft" activeCell="C137" sqref="C137:D137"/>
    </sheetView>
  </sheetViews>
  <sheetFormatPr defaultColWidth="12.1796875" defaultRowHeight="15" customHeight="1" x14ac:dyDescent="0.35"/>
  <cols>
    <col min="1" max="1" width="4" customWidth="1"/>
    <col min="2" max="2" width="17.81640625" customWidth="1"/>
    <col min="3" max="3" width="42.81640625" customWidth="1"/>
    <col min="4" max="4" width="35.7265625" customWidth="1"/>
    <col min="5" max="5" width="6.7265625" customWidth="1"/>
    <col min="6" max="6" width="12.81640625" customWidth="1"/>
    <col min="7" max="7" width="12" customWidth="1"/>
    <col min="8" max="10" width="15.7265625" customWidth="1"/>
    <col min="25" max="75" width="12.1796875" hidden="1"/>
    <col min="76" max="76" width="157.26953125" hidden="1" customWidth="1"/>
    <col min="77" max="78" width="12.1796875" hidden="1"/>
  </cols>
  <sheetData>
    <row r="1" spans="1:76" ht="54.75" customHeight="1" x14ac:dyDescent="0.35">
      <c r="A1" s="71" t="s">
        <v>144</v>
      </c>
      <c r="B1" s="71"/>
      <c r="C1" s="71"/>
      <c r="D1" s="71"/>
      <c r="E1" s="71"/>
      <c r="F1" s="71"/>
      <c r="G1" s="71"/>
      <c r="H1" s="71"/>
      <c r="I1" s="71"/>
      <c r="J1" s="71"/>
      <c r="AS1" s="38">
        <f>SUM(AJ1:AJ2)</f>
        <v>0</v>
      </c>
      <c r="AT1" s="38">
        <f>SUM(AK1:AK2)</f>
        <v>0</v>
      </c>
      <c r="AU1" s="38">
        <f>SUM(AL1:AL2)</f>
        <v>0</v>
      </c>
    </row>
    <row r="2" spans="1:76" ht="14.5" x14ac:dyDescent="0.35">
      <c r="A2" s="72" t="s">
        <v>1</v>
      </c>
      <c r="B2" s="73"/>
      <c r="C2" s="82" t="s">
        <v>145</v>
      </c>
      <c r="D2" s="91"/>
      <c r="E2" s="73" t="s">
        <v>2</v>
      </c>
      <c r="F2" s="73"/>
      <c r="G2" s="153" t="s">
        <v>3</v>
      </c>
      <c r="H2" s="80" t="s">
        <v>4</v>
      </c>
      <c r="I2" s="80" t="s">
        <v>146</v>
      </c>
      <c r="J2" s="89"/>
    </row>
    <row r="3" spans="1:76" ht="14.5" x14ac:dyDescent="0.35">
      <c r="A3" s="74"/>
      <c r="B3" s="75"/>
      <c r="C3" s="83"/>
      <c r="D3" s="83"/>
      <c r="E3" s="75"/>
      <c r="F3" s="75"/>
      <c r="G3" s="146"/>
      <c r="H3" s="75"/>
      <c r="I3" s="75"/>
      <c r="J3" s="85"/>
    </row>
    <row r="4" spans="1:76" ht="14.5" x14ac:dyDescent="0.35">
      <c r="A4" s="76" t="s">
        <v>5</v>
      </c>
      <c r="B4" s="75"/>
      <c r="C4" s="81" t="s">
        <v>147</v>
      </c>
      <c r="D4" s="75"/>
      <c r="E4" s="75" t="s">
        <v>6</v>
      </c>
      <c r="F4" s="75"/>
      <c r="G4" s="146" t="s">
        <v>3</v>
      </c>
      <c r="H4" s="81" t="s">
        <v>7</v>
      </c>
      <c r="I4" s="81" t="s">
        <v>148</v>
      </c>
      <c r="J4" s="85"/>
    </row>
    <row r="5" spans="1:76" ht="14.5" x14ac:dyDescent="0.35">
      <c r="A5" s="74"/>
      <c r="B5" s="75"/>
      <c r="C5" s="75"/>
      <c r="D5" s="75"/>
      <c r="E5" s="75"/>
      <c r="F5" s="75"/>
      <c r="G5" s="146"/>
      <c r="H5" s="75"/>
      <c r="I5" s="75"/>
      <c r="J5" s="85"/>
    </row>
    <row r="6" spans="1:76" ht="14.5" x14ac:dyDescent="0.35">
      <c r="A6" s="76" t="s">
        <v>8</v>
      </c>
      <c r="B6" s="75"/>
      <c r="C6" s="81" t="s">
        <v>149</v>
      </c>
      <c r="D6" s="75"/>
      <c r="E6" s="75" t="s">
        <v>9</v>
      </c>
      <c r="F6" s="75"/>
      <c r="G6" s="146" t="s">
        <v>3</v>
      </c>
      <c r="H6" s="81" t="s">
        <v>10</v>
      </c>
      <c r="I6" s="146" t="s">
        <v>150</v>
      </c>
      <c r="J6" s="147"/>
    </row>
    <row r="7" spans="1:76" ht="14.5" x14ac:dyDescent="0.35">
      <c r="A7" s="74"/>
      <c r="B7" s="75"/>
      <c r="C7" s="75"/>
      <c r="D7" s="75"/>
      <c r="E7" s="75"/>
      <c r="F7" s="75"/>
      <c r="G7" s="146"/>
      <c r="H7" s="75"/>
      <c r="I7" s="146"/>
      <c r="J7" s="147"/>
    </row>
    <row r="8" spans="1:76" ht="14.5" x14ac:dyDescent="0.35">
      <c r="A8" s="76" t="s">
        <v>83</v>
      </c>
      <c r="B8" s="75"/>
      <c r="C8" s="81" t="s">
        <v>3</v>
      </c>
      <c r="D8" s="75"/>
      <c r="E8" s="75" t="s">
        <v>12</v>
      </c>
      <c r="F8" s="75"/>
      <c r="G8" s="172">
        <v>45685</v>
      </c>
      <c r="H8" s="81" t="s">
        <v>11</v>
      </c>
      <c r="I8" s="148" t="s">
        <v>151</v>
      </c>
      <c r="J8" s="147"/>
    </row>
    <row r="9" spans="1:76" ht="14.5" x14ac:dyDescent="0.35">
      <c r="A9" s="77"/>
      <c r="B9" s="78"/>
      <c r="C9" s="78"/>
      <c r="D9" s="78"/>
      <c r="E9" s="78"/>
      <c r="F9" s="78"/>
      <c r="G9" s="149"/>
      <c r="H9" s="78"/>
      <c r="I9" s="149"/>
      <c r="J9" s="150"/>
    </row>
    <row r="10" spans="1:76" ht="14.5" x14ac:dyDescent="0.35">
      <c r="A10" s="39" t="s">
        <v>152</v>
      </c>
      <c r="B10" s="40" t="s">
        <v>14</v>
      </c>
      <c r="C10" s="151" t="s">
        <v>15</v>
      </c>
      <c r="D10" s="152"/>
      <c r="E10" s="40" t="s">
        <v>153</v>
      </c>
      <c r="F10" s="41" t="s">
        <v>154</v>
      </c>
      <c r="G10" s="42" t="s">
        <v>155</v>
      </c>
      <c r="H10" s="160" t="s">
        <v>156</v>
      </c>
      <c r="I10" s="161"/>
      <c r="J10" s="162"/>
      <c r="BK10" s="43" t="s">
        <v>157</v>
      </c>
      <c r="BL10" s="44" t="s">
        <v>158</v>
      </c>
      <c r="BW10" s="44" t="s">
        <v>159</v>
      </c>
    </row>
    <row r="11" spans="1:76" ht="14.5" x14ac:dyDescent="0.35">
      <c r="A11" s="45" t="s">
        <v>3</v>
      </c>
      <c r="B11" s="46" t="s">
        <v>3</v>
      </c>
      <c r="C11" s="158" t="s">
        <v>160</v>
      </c>
      <c r="D11" s="159"/>
      <c r="E11" s="46" t="s">
        <v>3</v>
      </c>
      <c r="F11" s="46" t="s">
        <v>3</v>
      </c>
      <c r="G11" s="47" t="s">
        <v>161</v>
      </c>
      <c r="H11" s="48" t="s">
        <v>162</v>
      </c>
      <c r="I11" s="49" t="s">
        <v>95</v>
      </c>
      <c r="J11" s="49" t="s">
        <v>163</v>
      </c>
      <c r="Z11" s="43" t="s">
        <v>164</v>
      </c>
      <c r="AA11" s="43" t="s">
        <v>165</v>
      </c>
      <c r="AB11" s="43" t="s">
        <v>166</v>
      </c>
      <c r="AC11" s="43" t="s">
        <v>167</v>
      </c>
      <c r="AD11" s="43" t="s">
        <v>168</v>
      </c>
      <c r="AE11" s="43" t="s">
        <v>169</v>
      </c>
      <c r="AF11" s="43" t="s">
        <v>170</v>
      </c>
      <c r="AG11" s="43" t="s">
        <v>171</v>
      </c>
      <c r="AH11" s="43" t="s">
        <v>172</v>
      </c>
      <c r="BH11" s="43" t="s">
        <v>173</v>
      </c>
      <c r="BI11" s="43" t="s">
        <v>174</v>
      </c>
      <c r="BJ11" s="43" t="s">
        <v>175</v>
      </c>
    </row>
    <row r="12" spans="1:76" ht="14.5" x14ac:dyDescent="0.35">
      <c r="A12" s="50" t="s">
        <v>19</v>
      </c>
      <c r="B12" s="51" t="s">
        <v>20</v>
      </c>
      <c r="C12" s="163" t="s">
        <v>21</v>
      </c>
      <c r="D12" s="164"/>
      <c r="E12" s="52" t="s">
        <v>3</v>
      </c>
      <c r="F12" s="52" t="s">
        <v>3</v>
      </c>
      <c r="G12" s="70" t="s">
        <v>3</v>
      </c>
      <c r="H12" s="53">
        <f>SUM(H13:H19)</f>
        <v>0</v>
      </c>
      <c r="I12" s="53">
        <f>SUM(I13:I19)</f>
        <v>0</v>
      </c>
      <c r="J12" s="54">
        <f>SUM(J13:J19)</f>
        <v>0</v>
      </c>
      <c r="AI12" s="43" t="s">
        <v>19</v>
      </c>
      <c r="AS12" s="38">
        <f>SUM(AJ13:AJ19)</f>
        <v>0</v>
      </c>
      <c r="AT12" s="38">
        <f>SUM(AK13:AK19)</f>
        <v>0</v>
      </c>
      <c r="AU12" s="38">
        <f>SUM(AL13:AL19)</f>
        <v>0</v>
      </c>
    </row>
    <row r="13" spans="1:76" ht="14.5" x14ac:dyDescent="0.35">
      <c r="A13" s="1" t="s">
        <v>176</v>
      </c>
      <c r="B13" s="2" t="s">
        <v>177</v>
      </c>
      <c r="C13" s="81" t="s">
        <v>178</v>
      </c>
      <c r="D13" s="75"/>
      <c r="E13" s="2" t="s">
        <v>179</v>
      </c>
      <c r="F13" s="14">
        <v>0.27</v>
      </c>
      <c r="G13" s="55">
        <v>0</v>
      </c>
      <c r="H13" s="14">
        <f>F13*AO13</f>
        <v>0</v>
      </c>
      <c r="I13" s="14">
        <f>F13*AP13</f>
        <v>0</v>
      </c>
      <c r="J13" s="56">
        <f>F13*G13</f>
        <v>0</v>
      </c>
      <c r="Z13" s="14">
        <f>IF(AQ13="5",BJ13,0)</f>
        <v>0</v>
      </c>
      <c r="AB13" s="14">
        <f>IF(AQ13="1",BH13,0)</f>
        <v>0</v>
      </c>
      <c r="AC13" s="14">
        <f>IF(AQ13="1",BI13,0)</f>
        <v>0</v>
      </c>
      <c r="AD13" s="14">
        <f>IF(AQ13="7",BH13,0)</f>
        <v>0</v>
      </c>
      <c r="AE13" s="14">
        <f>IF(AQ13="7",BI13,0)</f>
        <v>0</v>
      </c>
      <c r="AF13" s="14">
        <f>IF(AQ13="2",BH13,0)</f>
        <v>0</v>
      </c>
      <c r="AG13" s="14">
        <f>IF(AQ13="2",BI13,0)</f>
        <v>0</v>
      </c>
      <c r="AH13" s="14">
        <f>IF(AQ13="0",BJ13,0)</f>
        <v>0</v>
      </c>
      <c r="AI13" s="43" t="s">
        <v>19</v>
      </c>
      <c r="AJ13" s="14">
        <f>IF(AN13=0,J13,0)</f>
        <v>0</v>
      </c>
      <c r="AK13" s="14">
        <f>IF(AN13=12,J13,0)</f>
        <v>0</v>
      </c>
      <c r="AL13" s="14">
        <f>IF(AN13=21,J13,0)</f>
        <v>0</v>
      </c>
      <c r="AN13" s="14">
        <v>21</v>
      </c>
      <c r="AO13" s="14">
        <f>G13*0.553643865</f>
        <v>0</v>
      </c>
      <c r="AP13" s="14">
        <f>G13*(1-0.553643865)</f>
        <v>0</v>
      </c>
      <c r="AQ13" s="13" t="s">
        <v>176</v>
      </c>
      <c r="AV13" s="14">
        <f>AW13+AX13</f>
        <v>0</v>
      </c>
      <c r="AW13" s="14">
        <f>F13*AO13</f>
        <v>0</v>
      </c>
      <c r="AX13" s="14">
        <f>F13*AP13</f>
        <v>0</v>
      </c>
      <c r="AY13" s="13" t="s">
        <v>180</v>
      </c>
      <c r="AZ13" s="13" t="s">
        <v>181</v>
      </c>
      <c r="BA13" s="43" t="s">
        <v>182</v>
      </c>
      <c r="BC13" s="14">
        <f>AW13+AX13</f>
        <v>0</v>
      </c>
      <c r="BD13" s="14">
        <f>G13/(100-BE13)*100</f>
        <v>0</v>
      </c>
      <c r="BE13" s="14">
        <v>0</v>
      </c>
      <c r="BF13" s="14">
        <f>13</f>
        <v>13</v>
      </c>
      <c r="BH13" s="14">
        <f>F13*AO13</f>
        <v>0</v>
      </c>
      <c r="BI13" s="14">
        <f>F13*AP13</f>
        <v>0</v>
      </c>
      <c r="BJ13" s="14">
        <f>F13*G13</f>
        <v>0</v>
      </c>
      <c r="BK13" s="14"/>
      <c r="BL13" s="14">
        <v>31</v>
      </c>
      <c r="BW13" s="14">
        <v>21</v>
      </c>
      <c r="BX13" s="4" t="s">
        <v>178</v>
      </c>
    </row>
    <row r="14" spans="1:76" ht="14.5" x14ac:dyDescent="0.35">
      <c r="A14" s="1" t="s">
        <v>183</v>
      </c>
      <c r="B14" s="2" t="s">
        <v>184</v>
      </c>
      <c r="C14" s="81" t="s">
        <v>185</v>
      </c>
      <c r="D14" s="75"/>
      <c r="E14" s="2" t="s">
        <v>179</v>
      </c>
      <c r="F14" s="14">
        <v>0.6</v>
      </c>
      <c r="G14" s="55">
        <v>0</v>
      </c>
      <c r="H14" s="14">
        <f>F14*AO14</f>
        <v>0</v>
      </c>
      <c r="I14" s="14">
        <f>F14*AP14</f>
        <v>0</v>
      </c>
      <c r="J14" s="56">
        <f>F14*G14</f>
        <v>0</v>
      </c>
      <c r="Z14" s="14">
        <f>IF(AQ14="5",BJ14,0)</f>
        <v>0</v>
      </c>
      <c r="AB14" s="14">
        <f>IF(AQ14="1",BH14,0)</f>
        <v>0</v>
      </c>
      <c r="AC14" s="14">
        <f>IF(AQ14="1",BI14,0)</f>
        <v>0</v>
      </c>
      <c r="AD14" s="14">
        <f>IF(AQ14="7",BH14,0)</f>
        <v>0</v>
      </c>
      <c r="AE14" s="14">
        <f>IF(AQ14="7",BI14,0)</f>
        <v>0</v>
      </c>
      <c r="AF14" s="14">
        <f>IF(AQ14="2",BH14,0)</f>
        <v>0</v>
      </c>
      <c r="AG14" s="14">
        <f>IF(AQ14="2",BI14,0)</f>
        <v>0</v>
      </c>
      <c r="AH14" s="14">
        <f>IF(AQ14="0",BJ14,0)</f>
        <v>0</v>
      </c>
      <c r="AI14" s="43" t="s">
        <v>19</v>
      </c>
      <c r="AJ14" s="14">
        <f>IF(AN14=0,J14,0)</f>
        <v>0</v>
      </c>
      <c r="AK14" s="14">
        <f>IF(AN14=12,J14,0)</f>
        <v>0</v>
      </c>
      <c r="AL14" s="14">
        <f>IF(AN14=21,J14,0)</f>
        <v>0</v>
      </c>
      <c r="AN14" s="14">
        <v>21</v>
      </c>
      <c r="AO14" s="14">
        <f>G14*0.61279189</f>
        <v>0</v>
      </c>
      <c r="AP14" s="14">
        <f>G14*(1-0.61279189)</f>
        <v>0</v>
      </c>
      <c r="AQ14" s="13" t="s">
        <v>176</v>
      </c>
      <c r="AV14" s="14">
        <f>AW14+AX14</f>
        <v>0</v>
      </c>
      <c r="AW14" s="14">
        <f>F14*AO14</f>
        <v>0</v>
      </c>
      <c r="AX14" s="14">
        <f>F14*AP14</f>
        <v>0</v>
      </c>
      <c r="AY14" s="13" t="s">
        <v>180</v>
      </c>
      <c r="AZ14" s="13" t="s">
        <v>181</v>
      </c>
      <c r="BA14" s="43" t="s">
        <v>182</v>
      </c>
      <c r="BC14" s="14">
        <f>AW14+AX14</f>
        <v>0</v>
      </c>
      <c r="BD14" s="14">
        <f>G14/(100-BE14)*100</f>
        <v>0</v>
      </c>
      <c r="BE14" s="14">
        <v>0</v>
      </c>
      <c r="BF14" s="14">
        <f>14</f>
        <v>14</v>
      </c>
      <c r="BH14" s="14">
        <f>F14*AO14</f>
        <v>0</v>
      </c>
      <c r="BI14" s="14">
        <f>F14*AP14</f>
        <v>0</v>
      </c>
      <c r="BJ14" s="14">
        <f>F14*G14</f>
        <v>0</v>
      </c>
      <c r="BK14" s="14"/>
      <c r="BL14" s="14">
        <v>31</v>
      </c>
      <c r="BW14" s="14">
        <v>21</v>
      </c>
      <c r="BX14" s="4" t="s">
        <v>185</v>
      </c>
    </row>
    <row r="15" spans="1:76" ht="14.5" x14ac:dyDescent="0.35">
      <c r="A15" s="1" t="s">
        <v>186</v>
      </c>
      <c r="B15" s="2" t="s">
        <v>187</v>
      </c>
      <c r="C15" s="81" t="s">
        <v>188</v>
      </c>
      <c r="D15" s="75"/>
      <c r="E15" s="2" t="s">
        <v>189</v>
      </c>
      <c r="F15" s="14">
        <v>5.2260000000000001E-2</v>
      </c>
      <c r="G15" s="55">
        <v>0</v>
      </c>
      <c r="H15" s="14">
        <f>F15*AO15</f>
        <v>0</v>
      </c>
      <c r="I15" s="14">
        <f>F15*AP15</f>
        <v>0</v>
      </c>
      <c r="J15" s="56">
        <f>F15*G15</f>
        <v>0</v>
      </c>
      <c r="Z15" s="14">
        <f>IF(AQ15="5",BJ15,0)</f>
        <v>0</v>
      </c>
      <c r="AB15" s="14">
        <f>IF(AQ15="1",BH15,0)</f>
        <v>0</v>
      </c>
      <c r="AC15" s="14">
        <f>IF(AQ15="1",BI15,0)</f>
        <v>0</v>
      </c>
      <c r="AD15" s="14">
        <f>IF(AQ15="7",BH15,0)</f>
        <v>0</v>
      </c>
      <c r="AE15" s="14">
        <f>IF(AQ15="7",BI15,0)</f>
        <v>0</v>
      </c>
      <c r="AF15" s="14">
        <f>IF(AQ15="2",BH15,0)</f>
        <v>0</v>
      </c>
      <c r="AG15" s="14">
        <f>IF(AQ15="2",BI15,0)</f>
        <v>0</v>
      </c>
      <c r="AH15" s="14">
        <f>IF(AQ15="0",BJ15,0)</f>
        <v>0</v>
      </c>
      <c r="AI15" s="43" t="s">
        <v>19</v>
      </c>
      <c r="AJ15" s="14">
        <f>IF(AN15=0,J15,0)</f>
        <v>0</v>
      </c>
      <c r="AK15" s="14">
        <f>IF(AN15=12,J15,0)</f>
        <v>0</v>
      </c>
      <c r="AL15" s="14">
        <f>IF(AN15=21,J15,0)</f>
        <v>0</v>
      </c>
      <c r="AN15" s="14">
        <v>21</v>
      </c>
      <c r="AO15" s="14">
        <f>G15*0.774858731</f>
        <v>0</v>
      </c>
      <c r="AP15" s="14">
        <f>G15*(1-0.774858731)</f>
        <v>0</v>
      </c>
      <c r="AQ15" s="13" t="s">
        <v>176</v>
      </c>
      <c r="AV15" s="14">
        <f>AW15+AX15</f>
        <v>0</v>
      </c>
      <c r="AW15" s="14">
        <f>F15*AO15</f>
        <v>0</v>
      </c>
      <c r="AX15" s="14">
        <f>F15*AP15</f>
        <v>0</v>
      </c>
      <c r="AY15" s="13" t="s">
        <v>180</v>
      </c>
      <c r="AZ15" s="13" t="s">
        <v>181</v>
      </c>
      <c r="BA15" s="43" t="s">
        <v>182</v>
      </c>
      <c r="BC15" s="14">
        <f>AW15+AX15</f>
        <v>0</v>
      </c>
      <c r="BD15" s="14">
        <f>G15/(100-BE15)*100</f>
        <v>0</v>
      </c>
      <c r="BE15" s="14">
        <v>0</v>
      </c>
      <c r="BF15" s="14">
        <f>15</f>
        <v>15</v>
      </c>
      <c r="BH15" s="14">
        <f>F15*AO15</f>
        <v>0</v>
      </c>
      <c r="BI15" s="14">
        <f>F15*AP15</f>
        <v>0</v>
      </c>
      <c r="BJ15" s="14">
        <f>F15*G15</f>
        <v>0</v>
      </c>
      <c r="BK15" s="14"/>
      <c r="BL15" s="14">
        <v>31</v>
      </c>
      <c r="BW15" s="14">
        <v>21</v>
      </c>
      <c r="BX15" s="4" t="s">
        <v>188</v>
      </c>
    </row>
    <row r="16" spans="1:76" ht="14.5" x14ac:dyDescent="0.35">
      <c r="A16" s="57"/>
      <c r="B16" s="58" t="s">
        <v>190</v>
      </c>
      <c r="C16" s="154" t="s">
        <v>191</v>
      </c>
      <c r="D16" s="155"/>
      <c r="E16" s="155"/>
      <c r="F16" s="155"/>
      <c r="G16" s="156"/>
      <c r="H16" s="155"/>
      <c r="I16" s="155"/>
      <c r="J16" s="157"/>
      <c r="BX16" s="59" t="s">
        <v>191</v>
      </c>
    </row>
    <row r="17" spans="1:76" ht="14.5" x14ac:dyDescent="0.35">
      <c r="A17" s="1" t="s">
        <v>192</v>
      </c>
      <c r="B17" s="2" t="s">
        <v>193</v>
      </c>
      <c r="C17" s="81" t="s">
        <v>194</v>
      </c>
      <c r="D17" s="75"/>
      <c r="E17" s="2" t="s">
        <v>189</v>
      </c>
      <c r="F17" s="14">
        <v>2.5530000000000001E-2</v>
      </c>
      <c r="G17" s="55">
        <v>0</v>
      </c>
      <c r="H17" s="14">
        <f>F17*AO17</f>
        <v>0</v>
      </c>
      <c r="I17" s="14">
        <f>F17*AP17</f>
        <v>0</v>
      </c>
      <c r="J17" s="56">
        <f>F17*G17</f>
        <v>0</v>
      </c>
      <c r="Z17" s="14">
        <f>IF(AQ17="5",BJ17,0)</f>
        <v>0</v>
      </c>
      <c r="AB17" s="14">
        <f>IF(AQ17="1",BH17,0)</f>
        <v>0</v>
      </c>
      <c r="AC17" s="14">
        <f>IF(AQ17="1",BI17,0)</f>
        <v>0</v>
      </c>
      <c r="AD17" s="14">
        <f>IF(AQ17="7",BH17,0)</f>
        <v>0</v>
      </c>
      <c r="AE17" s="14">
        <f>IF(AQ17="7",BI17,0)</f>
        <v>0</v>
      </c>
      <c r="AF17" s="14">
        <f>IF(AQ17="2",BH17,0)</f>
        <v>0</v>
      </c>
      <c r="AG17" s="14">
        <f>IF(AQ17="2",BI17,0)</f>
        <v>0</v>
      </c>
      <c r="AH17" s="14">
        <f>IF(AQ17="0",BJ17,0)</f>
        <v>0</v>
      </c>
      <c r="AI17" s="43" t="s">
        <v>19</v>
      </c>
      <c r="AJ17" s="14">
        <f>IF(AN17=0,J17,0)</f>
        <v>0</v>
      </c>
      <c r="AK17" s="14">
        <f>IF(AN17=12,J17,0)</f>
        <v>0</v>
      </c>
      <c r="AL17" s="14">
        <f>IF(AN17=21,J17,0)</f>
        <v>0</v>
      </c>
      <c r="AN17" s="14">
        <v>21</v>
      </c>
      <c r="AO17" s="14">
        <f>G17*0.742520645</f>
        <v>0</v>
      </c>
      <c r="AP17" s="14">
        <f>G17*(1-0.742520645)</f>
        <v>0</v>
      </c>
      <c r="AQ17" s="13" t="s">
        <v>176</v>
      </c>
      <c r="AV17" s="14">
        <f>AW17+AX17</f>
        <v>0</v>
      </c>
      <c r="AW17" s="14">
        <f>F17*AO17</f>
        <v>0</v>
      </c>
      <c r="AX17" s="14">
        <f>F17*AP17</f>
        <v>0</v>
      </c>
      <c r="AY17" s="13" t="s">
        <v>180</v>
      </c>
      <c r="AZ17" s="13" t="s">
        <v>181</v>
      </c>
      <c r="BA17" s="43" t="s">
        <v>182</v>
      </c>
      <c r="BC17" s="14">
        <f>AW17+AX17</f>
        <v>0</v>
      </c>
      <c r="BD17" s="14">
        <f>G17/(100-BE17)*100</f>
        <v>0</v>
      </c>
      <c r="BE17" s="14">
        <v>0</v>
      </c>
      <c r="BF17" s="14">
        <f>17</f>
        <v>17</v>
      </c>
      <c r="BH17" s="14">
        <f>F17*AO17</f>
        <v>0</v>
      </c>
      <c r="BI17" s="14">
        <f>F17*AP17</f>
        <v>0</v>
      </c>
      <c r="BJ17" s="14">
        <f>F17*G17</f>
        <v>0</v>
      </c>
      <c r="BK17" s="14"/>
      <c r="BL17" s="14">
        <v>31</v>
      </c>
      <c r="BW17" s="14">
        <v>21</v>
      </c>
      <c r="BX17" s="4" t="s">
        <v>194</v>
      </c>
    </row>
    <row r="18" spans="1:76" ht="26" x14ac:dyDescent="0.35">
      <c r="A18" s="57"/>
      <c r="B18" s="58" t="s">
        <v>190</v>
      </c>
      <c r="C18" s="154" t="s">
        <v>195</v>
      </c>
      <c r="D18" s="155"/>
      <c r="E18" s="155"/>
      <c r="F18" s="155"/>
      <c r="G18" s="156"/>
      <c r="H18" s="155"/>
      <c r="I18" s="155"/>
      <c r="J18" s="157"/>
      <c r="BX18" s="59" t="s">
        <v>195</v>
      </c>
    </row>
    <row r="19" spans="1:76" ht="14.5" x14ac:dyDescent="0.35">
      <c r="A19" s="1" t="s">
        <v>196</v>
      </c>
      <c r="B19" s="2" t="s">
        <v>197</v>
      </c>
      <c r="C19" s="81" t="s">
        <v>198</v>
      </c>
      <c r="D19" s="75"/>
      <c r="E19" s="2" t="s">
        <v>189</v>
      </c>
      <c r="F19" s="14">
        <v>2.1600000000000001E-2</v>
      </c>
      <c r="G19" s="55">
        <v>0</v>
      </c>
      <c r="H19" s="14">
        <f>F19*AO19</f>
        <v>0</v>
      </c>
      <c r="I19" s="14">
        <f>F19*AP19</f>
        <v>0</v>
      </c>
      <c r="J19" s="56">
        <f>F19*G19</f>
        <v>0</v>
      </c>
      <c r="Z19" s="14">
        <f>IF(AQ19="5",BJ19,0)</f>
        <v>0</v>
      </c>
      <c r="AB19" s="14">
        <f>IF(AQ19="1",BH19,0)</f>
        <v>0</v>
      </c>
      <c r="AC19" s="14">
        <f>IF(AQ19="1",BI19,0)</f>
        <v>0</v>
      </c>
      <c r="AD19" s="14">
        <f>IF(AQ19="7",BH19,0)</f>
        <v>0</v>
      </c>
      <c r="AE19" s="14">
        <f>IF(AQ19="7",BI19,0)</f>
        <v>0</v>
      </c>
      <c r="AF19" s="14">
        <f>IF(AQ19="2",BH19,0)</f>
        <v>0</v>
      </c>
      <c r="AG19" s="14">
        <f>IF(AQ19="2",BI19,0)</f>
        <v>0</v>
      </c>
      <c r="AH19" s="14">
        <f>IF(AQ19="0",BJ19,0)</f>
        <v>0</v>
      </c>
      <c r="AI19" s="43" t="s">
        <v>19</v>
      </c>
      <c r="AJ19" s="14">
        <f>IF(AN19=0,J19,0)</f>
        <v>0</v>
      </c>
      <c r="AK19" s="14">
        <f>IF(AN19=12,J19,0)</f>
        <v>0</v>
      </c>
      <c r="AL19" s="14">
        <f>IF(AN19=21,J19,0)</f>
        <v>0</v>
      </c>
      <c r="AN19" s="14">
        <v>21</v>
      </c>
      <c r="AO19" s="14">
        <f>G19*0.758862368</f>
        <v>0</v>
      </c>
      <c r="AP19" s="14">
        <f>G19*(1-0.758862368)</f>
        <v>0</v>
      </c>
      <c r="AQ19" s="13" t="s">
        <v>176</v>
      </c>
      <c r="AV19" s="14">
        <f>AW19+AX19</f>
        <v>0</v>
      </c>
      <c r="AW19" s="14">
        <f>F19*AO19</f>
        <v>0</v>
      </c>
      <c r="AX19" s="14">
        <f>F19*AP19</f>
        <v>0</v>
      </c>
      <c r="AY19" s="13" t="s">
        <v>180</v>
      </c>
      <c r="AZ19" s="13" t="s">
        <v>181</v>
      </c>
      <c r="BA19" s="43" t="s">
        <v>182</v>
      </c>
      <c r="BC19" s="14">
        <f>AW19+AX19</f>
        <v>0</v>
      </c>
      <c r="BD19" s="14">
        <f>G19/(100-BE19)*100</f>
        <v>0</v>
      </c>
      <c r="BE19" s="14">
        <v>0</v>
      </c>
      <c r="BF19" s="14">
        <f>19</f>
        <v>19</v>
      </c>
      <c r="BH19" s="14">
        <f>F19*AO19</f>
        <v>0</v>
      </c>
      <c r="BI19" s="14">
        <f>F19*AP19</f>
        <v>0</v>
      </c>
      <c r="BJ19" s="14">
        <f>F19*G19</f>
        <v>0</v>
      </c>
      <c r="BK19" s="14"/>
      <c r="BL19" s="14">
        <v>31</v>
      </c>
      <c r="BW19" s="14">
        <v>21</v>
      </c>
      <c r="BX19" s="4" t="s">
        <v>198</v>
      </c>
    </row>
    <row r="20" spans="1:76" ht="26" x14ac:dyDescent="0.35">
      <c r="A20" s="57"/>
      <c r="B20" s="58" t="s">
        <v>190</v>
      </c>
      <c r="C20" s="154" t="s">
        <v>199</v>
      </c>
      <c r="D20" s="155"/>
      <c r="E20" s="155"/>
      <c r="F20" s="155"/>
      <c r="G20" s="156"/>
      <c r="H20" s="155"/>
      <c r="I20" s="155"/>
      <c r="J20" s="157"/>
      <c r="BX20" s="59" t="s">
        <v>199</v>
      </c>
    </row>
    <row r="21" spans="1:76" ht="14.5" x14ac:dyDescent="0.35">
      <c r="A21" s="60" t="s">
        <v>19</v>
      </c>
      <c r="B21" s="61" t="s">
        <v>23</v>
      </c>
      <c r="C21" s="165" t="s">
        <v>24</v>
      </c>
      <c r="D21" s="166"/>
      <c r="E21" s="62" t="s">
        <v>3</v>
      </c>
      <c r="F21" s="62" t="s">
        <v>3</v>
      </c>
      <c r="G21" s="69" t="s">
        <v>3</v>
      </c>
      <c r="H21" s="38">
        <f>SUM(H22:H25)</f>
        <v>0</v>
      </c>
      <c r="I21" s="38">
        <f>SUM(I22:I25)</f>
        <v>0</v>
      </c>
      <c r="J21" s="64">
        <f>SUM(J22:J25)</f>
        <v>0</v>
      </c>
      <c r="AI21" s="43" t="s">
        <v>19</v>
      </c>
      <c r="AS21" s="38">
        <f>SUM(AJ22:AJ25)</f>
        <v>0</v>
      </c>
      <c r="AT21" s="38">
        <f>SUM(AK22:AK25)</f>
        <v>0</v>
      </c>
      <c r="AU21" s="38">
        <f>SUM(AL22:AL25)</f>
        <v>0</v>
      </c>
    </row>
    <row r="22" spans="1:76" ht="14.5" x14ac:dyDescent="0.35">
      <c r="A22" s="1" t="s">
        <v>200</v>
      </c>
      <c r="B22" s="2" t="s">
        <v>201</v>
      </c>
      <c r="C22" s="81" t="s">
        <v>202</v>
      </c>
      <c r="D22" s="75"/>
      <c r="E22" s="2" t="s">
        <v>203</v>
      </c>
      <c r="F22" s="14">
        <v>13.21</v>
      </c>
      <c r="G22" s="55">
        <v>0</v>
      </c>
      <c r="H22" s="14">
        <f>F22*AO22</f>
        <v>0</v>
      </c>
      <c r="I22" s="14">
        <f>F22*AP22</f>
        <v>0</v>
      </c>
      <c r="J22" s="56">
        <f>F22*G22</f>
        <v>0</v>
      </c>
      <c r="Z22" s="14">
        <f>IF(AQ22="5",BJ22,0)</f>
        <v>0</v>
      </c>
      <c r="AB22" s="14">
        <f>IF(AQ22="1",BH22,0)</f>
        <v>0</v>
      </c>
      <c r="AC22" s="14">
        <f>IF(AQ22="1",BI22,0)</f>
        <v>0</v>
      </c>
      <c r="AD22" s="14">
        <f>IF(AQ22="7",BH22,0)</f>
        <v>0</v>
      </c>
      <c r="AE22" s="14">
        <f>IF(AQ22="7",BI22,0)</f>
        <v>0</v>
      </c>
      <c r="AF22" s="14">
        <f>IF(AQ22="2",BH22,0)</f>
        <v>0</v>
      </c>
      <c r="AG22" s="14">
        <f>IF(AQ22="2",BI22,0)</f>
        <v>0</v>
      </c>
      <c r="AH22" s="14">
        <f>IF(AQ22="0",BJ22,0)</f>
        <v>0</v>
      </c>
      <c r="AI22" s="43" t="s">
        <v>19</v>
      </c>
      <c r="AJ22" s="14">
        <f>IF(AN22=0,J22,0)</f>
        <v>0</v>
      </c>
      <c r="AK22" s="14">
        <f>IF(AN22=12,J22,0)</f>
        <v>0</v>
      </c>
      <c r="AL22" s="14">
        <f>IF(AN22=21,J22,0)</f>
        <v>0</v>
      </c>
      <c r="AN22" s="14">
        <v>21</v>
      </c>
      <c r="AO22" s="14">
        <f>G22*0.671427554</f>
        <v>0</v>
      </c>
      <c r="AP22" s="14">
        <f>G22*(1-0.671427554)</f>
        <v>0</v>
      </c>
      <c r="AQ22" s="13" t="s">
        <v>176</v>
      </c>
      <c r="AV22" s="14">
        <f>AW22+AX22</f>
        <v>0</v>
      </c>
      <c r="AW22" s="14">
        <f>F22*AO22</f>
        <v>0</v>
      </c>
      <c r="AX22" s="14">
        <f>F22*AP22</f>
        <v>0</v>
      </c>
      <c r="AY22" s="13" t="s">
        <v>204</v>
      </c>
      <c r="AZ22" s="13" t="s">
        <v>181</v>
      </c>
      <c r="BA22" s="43" t="s">
        <v>182</v>
      </c>
      <c r="BC22" s="14">
        <f>AW22+AX22</f>
        <v>0</v>
      </c>
      <c r="BD22" s="14">
        <f>G22/(100-BE22)*100</f>
        <v>0</v>
      </c>
      <c r="BE22" s="14">
        <v>0</v>
      </c>
      <c r="BF22" s="14">
        <f>22</f>
        <v>22</v>
      </c>
      <c r="BH22" s="14">
        <f>F22*AO22</f>
        <v>0</v>
      </c>
      <c r="BI22" s="14">
        <f>F22*AP22</f>
        <v>0</v>
      </c>
      <c r="BJ22" s="14">
        <f>F22*G22</f>
        <v>0</v>
      </c>
      <c r="BK22" s="14"/>
      <c r="BL22" s="14">
        <v>34</v>
      </c>
      <c r="BW22" s="14">
        <v>21</v>
      </c>
      <c r="BX22" s="4" t="s">
        <v>202</v>
      </c>
    </row>
    <row r="23" spans="1:76" ht="14.5" x14ac:dyDescent="0.35">
      <c r="A23" s="1" t="s">
        <v>205</v>
      </c>
      <c r="B23" s="2" t="s">
        <v>206</v>
      </c>
      <c r="C23" s="81" t="s">
        <v>207</v>
      </c>
      <c r="D23" s="75"/>
      <c r="E23" s="2" t="s">
        <v>179</v>
      </c>
      <c r="F23" s="14">
        <v>0.18</v>
      </c>
      <c r="G23" s="55">
        <v>0</v>
      </c>
      <c r="H23" s="14">
        <f>F23*AO23</f>
        <v>0</v>
      </c>
      <c r="I23" s="14">
        <f>F23*AP23</f>
        <v>0</v>
      </c>
      <c r="J23" s="56">
        <f>F23*G23</f>
        <v>0</v>
      </c>
      <c r="Z23" s="14">
        <f>IF(AQ23="5",BJ23,0)</f>
        <v>0</v>
      </c>
      <c r="AB23" s="14">
        <f>IF(AQ23="1",BH23,0)</f>
        <v>0</v>
      </c>
      <c r="AC23" s="14">
        <f>IF(AQ23="1",BI23,0)</f>
        <v>0</v>
      </c>
      <c r="AD23" s="14">
        <f>IF(AQ23="7",BH23,0)</f>
        <v>0</v>
      </c>
      <c r="AE23" s="14">
        <f>IF(AQ23="7",BI23,0)</f>
        <v>0</v>
      </c>
      <c r="AF23" s="14">
        <f>IF(AQ23="2",BH23,0)</f>
        <v>0</v>
      </c>
      <c r="AG23" s="14">
        <f>IF(AQ23="2",BI23,0)</f>
        <v>0</v>
      </c>
      <c r="AH23" s="14">
        <f>IF(AQ23="0",BJ23,0)</f>
        <v>0</v>
      </c>
      <c r="AI23" s="43" t="s">
        <v>19</v>
      </c>
      <c r="AJ23" s="14">
        <f>IF(AN23=0,J23,0)</f>
        <v>0</v>
      </c>
      <c r="AK23" s="14">
        <f>IF(AN23=12,J23,0)</f>
        <v>0</v>
      </c>
      <c r="AL23" s="14">
        <f>IF(AN23=21,J23,0)</f>
        <v>0</v>
      </c>
      <c r="AN23" s="14">
        <v>21</v>
      </c>
      <c r="AO23" s="14">
        <f>G23*0.775272352</f>
        <v>0</v>
      </c>
      <c r="AP23" s="14">
        <f>G23*(1-0.775272352)</f>
        <v>0</v>
      </c>
      <c r="AQ23" s="13" t="s">
        <v>176</v>
      </c>
      <c r="AV23" s="14">
        <f>AW23+AX23</f>
        <v>0</v>
      </c>
      <c r="AW23" s="14">
        <f>F23*AO23</f>
        <v>0</v>
      </c>
      <c r="AX23" s="14">
        <f>F23*AP23</f>
        <v>0</v>
      </c>
      <c r="AY23" s="13" t="s">
        <v>204</v>
      </c>
      <c r="AZ23" s="13" t="s">
        <v>181</v>
      </c>
      <c r="BA23" s="43" t="s">
        <v>182</v>
      </c>
      <c r="BC23" s="14">
        <f>AW23+AX23</f>
        <v>0</v>
      </c>
      <c r="BD23" s="14">
        <f>G23/(100-BE23)*100</f>
        <v>0</v>
      </c>
      <c r="BE23" s="14">
        <v>0</v>
      </c>
      <c r="BF23" s="14">
        <f>23</f>
        <v>23</v>
      </c>
      <c r="BH23" s="14">
        <f>F23*AO23</f>
        <v>0</v>
      </c>
      <c r="BI23" s="14">
        <f>F23*AP23</f>
        <v>0</v>
      </c>
      <c r="BJ23" s="14">
        <f>F23*G23</f>
        <v>0</v>
      </c>
      <c r="BK23" s="14"/>
      <c r="BL23" s="14">
        <v>34</v>
      </c>
      <c r="BW23" s="14">
        <v>21</v>
      </c>
      <c r="BX23" s="4" t="s">
        <v>207</v>
      </c>
    </row>
    <row r="24" spans="1:76" ht="14.5" x14ac:dyDescent="0.35">
      <c r="A24" s="57"/>
      <c r="B24" s="58" t="s">
        <v>190</v>
      </c>
      <c r="C24" s="154" t="s">
        <v>208</v>
      </c>
      <c r="D24" s="155"/>
      <c r="E24" s="155"/>
      <c r="F24" s="155"/>
      <c r="G24" s="156"/>
      <c r="H24" s="155"/>
      <c r="I24" s="155"/>
      <c r="J24" s="157"/>
      <c r="BX24" s="59" t="s">
        <v>208</v>
      </c>
    </row>
    <row r="25" spans="1:76" ht="14.5" x14ac:dyDescent="0.35">
      <c r="A25" s="1" t="s">
        <v>209</v>
      </c>
      <c r="B25" s="2" t="s">
        <v>210</v>
      </c>
      <c r="C25" s="81" t="s">
        <v>211</v>
      </c>
      <c r="D25" s="75"/>
      <c r="E25" s="2" t="s">
        <v>203</v>
      </c>
      <c r="F25" s="14">
        <v>21.15</v>
      </c>
      <c r="G25" s="55">
        <v>0</v>
      </c>
      <c r="H25" s="14">
        <f>F25*AO25</f>
        <v>0</v>
      </c>
      <c r="I25" s="14">
        <f>F25*AP25</f>
        <v>0</v>
      </c>
      <c r="J25" s="56">
        <f>F25*G25</f>
        <v>0</v>
      </c>
      <c r="Z25" s="14">
        <f>IF(AQ25="5",BJ25,0)</f>
        <v>0</v>
      </c>
      <c r="AB25" s="14">
        <f>IF(AQ25="1",BH25,0)</f>
        <v>0</v>
      </c>
      <c r="AC25" s="14">
        <f>IF(AQ25="1",BI25,0)</f>
        <v>0</v>
      </c>
      <c r="AD25" s="14">
        <f>IF(AQ25="7",BH25,0)</f>
        <v>0</v>
      </c>
      <c r="AE25" s="14">
        <f>IF(AQ25="7",BI25,0)</f>
        <v>0</v>
      </c>
      <c r="AF25" s="14">
        <f>IF(AQ25="2",BH25,0)</f>
        <v>0</v>
      </c>
      <c r="AG25" s="14">
        <f>IF(AQ25="2",BI25,0)</f>
        <v>0</v>
      </c>
      <c r="AH25" s="14">
        <f>IF(AQ25="0",BJ25,0)</f>
        <v>0</v>
      </c>
      <c r="AI25" s="43" t="s">
        <v>19</v>
      </c>
      <c r="AJ25" s="14">
        <f>IF(AN25=0,J25,0)</f>
        <v>0</v>
      </c>
      <c r="AK25" s="14">
        <f>IF(AN25=12,J25,0)</f>
        <v>0</v>
      </c>
      <c r="AL25" s="14">
        <f>IF(AN25=21,J25,0)</f>
        <v>0</v>
      </c>
      <c r="AN25" s="14">
        <v>21</v>
      </c>
      <c r="AO25" s="14">
        <f>G25*0.747916258</f>
        <v>0</v>
      </c>
      <c r="AP25" s="14">
        <f>G25*(1-0.747916258)</f>
        <v>0</v>
      </c>
      <c r="AQ25" s="13" t="s">
        <v>176</v>
      </c>
      <c r="AV25" s="14">
        <f>AW25+AX25</f>
        <v>0</v>
      </c>
      <c r="AW25" s="14">
        <f>F25*AO25</f>
        <v>0</v>
      </c>
      <c r="AX25" s="14">
        <f>F25*AP25</f>
        <v>0</v>
      </c>
      <c r="AY25" s="13" t="s">
        <v>204</v>
      </c>
      <c r="AZ25" s="13" t="s">
        <v>181</v>
      </c>
      <c r="BA25" s="43" t="s">
        <v>182</v>
      </c>
      <c r="BC25" s="14">
        <f>AW25+AX25</f>
        <v>0</v>
      </c>
      <c r="BD25" s="14">
        <f>G25/(100-BE25)*100</f>
        <v>0</v>
      </c>
      <c r="BE25" s="14">
        <v>0</v>
      </c>
      <c r="BF25" s="14">
        <f>25</f>
        <v>25</v>
      </c>
      <c r="BH25" s="14">
        <f>F25*AO25</f>
        <v>0</v>
      </c>
      <c r="BI25" s="14">
        <f>F25*AP25</f>
        <v>0</v>
      </c>
      <c r="BJ25" s="14">
        <f>F25*G25</f>
        <v>0</v>
      </c>
      <c r="BK25" s="14"/>
      <c r="BL25" s="14">
        <v>34</v>
      </c>
      <c r="BW25" s="14">
        <v>21</v>
      </c>
      <c r="BX25" s="4" t="s">
        <v>211</v>
      </c>
    </row>
    <row r="26" spans="1:76" ht="14.5" x14ac:dyDescent="0.35">
      <c r="A26" s="60" t="s">
        <v>19</v>
      </c>
      <c r="B26" s="61" t="s">
        <v>25</v>
      </c>
      <c r="C26" s="165" t="s">
        <v>26</v>
      </c>
      <c r="D26" s="166"/>
      <c r="E26" s="62" t="s">
        <v>3</v>
      </c>
      <c r="F26" s="62" t="s">
        <v>3</v>
      </c>
      <c r="G26" s="69" t="s">
        <v>3</v>
      </c>
      <c r="H26" s="38">
        <f>SUM(H27:H27)</f>
        <v>0</v>
      </c>
      <c r="I26" s="38">
        <f>SUM(I27:I27)</f>
        <v>0</v>
      </c>
      <c r="J26" s="64">
        <f>SUM(J27:J27)</f>
        <v>0</v>
      </c>
      <c r="AI26" s="43" t="s">
        <v>19</v>
      </c>
      <c r="AS26" s="38">
        <f>SUM(AJ27:AJ27)</f>
        <v>0</v>
      </c>
      <c r="AT26" s="38">
        <f>SUM(AK27:AK27)</f>
        <v>0</v>
      </c>
      <c r="AU26" s="38">
        <f>SUM(AL27:AL27)</f>
        <v>0</v>
      </c>
    </row>
    <row r="27" spans="1:76" ht="14.5" x14ac:dyDescent="0.35">
      <c r="A27" s="1" t="s">
        <v>212</v>
      </c>
      <c r="B27" s="2" t="s">
        <v>213</v>
      </c>
      <c r="C27" s="81" t="s">
        <v>214</v>
      </c>
      <c r="D27" s="75"/>
      <c r="E27" s="2" t="s">
        <v>215</v>
      </c>
      <c r="F27" s="14">
        <v>4</v>
      </c>
      <c r="G27" s="55">
        <v>0</v>
      </c>
      <c r="H27" s="14">
        <f>F27*AO27</f>
        <v>0</v>
      </c>
      <c r="I27" s="14">
        <f>F27*AP27</f>
        <v>0</v>
      </c>
      <c r="J27" s="56">
        <f>F27*G27</f>
        <v>0</v>
      </c>
      <c r="Z27" s="14">
        <f>IF(AQ27="5",BJ27,0)</f>
        <v>0</v>
      </c>
      <c r="AB27" s="14">
        <f>IF(AQ27="1",BH27,0)</f>
        <v>0</v>
      </c>
      <c r="AC27" s="14">
        <f>IF(AQ27="1",BI27,0)</f>
        <v>0</v>
      </c>
      <c r="AD27" s="14">
        <f>IF(AQ27="7",BH27,0)</f>
        <v>0</v>
      </c>
      <c r="AE27" s="14">
        <f>IF(AQ27="7",BI27,0)</f>
        <v>0</v>
      </c>
      <c r="AF27" s="14">
        <f>IF(AQ27="2",BH27,0)</f>
        <v>0</v>
      </c>
      <c r="AG27" s="14">
        <f>IF(AQ27="2",BI27,0)</f>
        <v>0</v>
      </c>
      <c r="AH27" s="14">
        <f>IF(AQ27="0",BJ27,0)</f>
        <v>0</v>
      </c>
      <c r="AI27" s="43" t="s">
        <v>19</v>
      </c>
      <c r="AJ27" s="14">
        <f>IF(AN27=0,J27,0)</f>
        <v>0</v>
      </c>
      <c r="AK27" s="14">
        <f>IF(AN27=12,J27,0)</f>
        <v>0</v>
      </c>
      <c r="AL27" s="14">
        <f>IF(AN27=21,J27,0)</f>
        <v>0</v>
      </c>
      <c r="AN27" s="14">
        <v>21</v>
      </c>
      <c r="AO27" s="14">
        <f>G27*0.137914921</f>
        <v>0</v>
      </c>
      <c r="AP27" s="14">
        <f>G27*(1-0.137914921)</f>
        <v>0</v>
      </c>
      <c r="AQ27" s="13" t="s">
        <v>176</v>
      </c>
      <c r="AV27" s="14">
        <f>AW27+AX27</f>
        <v>0</v>
      </c>
      <c r="AW27" s="14">
        <f>F27*AO27</f>
        <v>0</v>
      </c>
      <c r="AX27" s="14">
        <f>F27*AP27</f>
        <v>0</v>
      </c>
      <c r="AY27" s="13" t="s">
        <v>216</v>
      </c>
      <c r="AZ27" s="13" t="s">
        <v>217</v>
      </c>
      <c r="BA27" s="43" t="s">
        <v>182</v>
      </c>
      <c r="BC27" s="14">
        <f>AW27+AX27</f>
        <v>0</v>
      </c>
      <c r="BD27" s="14">
        <f>G27/(100-BE27)*100</f>
        <v>0</v>
      </c>
      <c r="BE27" s="14">
        <v>0</v>
      </c>
      <c r="BF27" s="14">
        <f>27</f>
        <v>27</v>
      </c>
      <c r="BH27" s="14">
        <f>F27*AO27</f>
        <v>0</v>
      </c>
      <c r="BI27" s="14">
        <f>F27*AP27</f>
        <v>0</v>
      </c>
      <c r="BJ27" s="14">
        <f>F27*G27</f>
        <v>0</v>
      </c>
      <c r="BK27" s="14"/>
      <c r="BL27" s="14">
        <v>41</v>
      </c>
      <c r="BW27" s="14">
        <v>21</v>
      </c>
      <c r="BX27" s="4" t="s">
        <v>214</v>
      </c>
    </row>
    <row r="28" spans="1:76" ht="14.5" x14ac:dyDescent="0.35">
      <c r="A28" s="57"/>
      <c r="B28" s="58" t="s">
        <v>190</v>
      </c>
      <c r="C28" s="154" t="s">
        <v>218</v>
      </c>
      <c r="D28" s="155"/>
      <c r="E28" s="155"/>
      <c r="F28" s="155"/>
      <c r="G28" s="156"/>
      <c r="H28" s="155"/>
      <c r="I28" s="155"/>
      <c r="J28" s="157"/>
      <c r="BX28" s="59" t="s">
        <v>218</v>
      </c>
    </row>
    <row r="29" spans="1:76" ht="14.5" x14ac:dyDescent="0.35">
      <c r="A29" s="60" t="s">
        <v>19</v>
      </c>
      <c r="B29" s="61" t="s">
        <v>27</v>
      </c>
      <c r="C29" s="165" t="s">
        <v>28</v>
      </c>
      <c r="D29" s="166"/>
      <c r="E29" s="62" t="s">
        <v>3</v>
      </c>
      <c r="F29" s="62" t="s">
        <v>3</v>
      </c>
      <c r="G29" s="69" t="s">
        <v>3</v>
      </c>
      <c r="H29" s="38">
        <f>SUM(H30:H34)</f>
        <v>0</v>
      </c>
      <c r="I29" s="38">
        <f>SUM(I30:I34)</f>
        <v>0</v>
      </c>
      <c r="J29" s="64">
        <f>SUM(J30:J34)</f>
        <v>0</v>
      </c>
      <c r="AI29" s="43" t="s">
        <v>19</v>
      </c>
      <c r="AS29" s="38">
        <f>SUM(AJ30:AJ34)</f>
        <v>0</v>
      </c>
      <c r="AT29" s="38">
        <f>SUM(AK30:AK34)</f>
        <v>0</v>
      </c>
      <c r="AU29" s="38">
        <f>SUM(AL30:AL34)</f>
        <v>0</v>
      </c>
    </row>
    <row r="30" spans="1:76" ht="14.5" x14ac:dyDescent="0.35">
      <c r="A30" s="1" t="s">
        <v>219</v>
      </c>
      <c r="B30" s="2" t="s">
        <v>220</v>
      </c>
      <c r="C30" s="81" t="s">
        <v>221</v>
      </c>
      <c r="D30" s="75"/>
      <c r="E30" s="2" t="s">
        <v>203</v>
      </c>
      <c r="F30" s="14">
        <v>14.16</v>
      </c>
      <c r="G30" s="55">
        <v>0</v>
      </c>
      <c r="H30" s="14">
        <f>F30*AO30</f>
        <v>0</v>
      </c>
      <c r="I30" s="14">
        <f>F30*AP30</f>
        <v>0</v>
      </c>
      <c r="J30" s="56">
        <f>F30*G30</f>
        <v>0</v>
      </c>
      <c r="Z30" s="14">
        <f>IF(AQ30="5",BJ30,0)</f>
        <v>0</v>
      </c>
      <c r="AB30" s="14">
        <f>IF(AQ30="1",BH30,0)</f>
        <v>0</v>
      </c>
      <c r="AC30" s="14">
        <f>IF(AQ30="1",BI30,0)</f>
        <v>0</v>
      </c>
      <c r="AD30" s="14">
        <f>IF(AQ30="7",BH30,0)</f>
        <v>0</v>
      </c>
      <c r="AE30" s="14">
        <f>IF(AQ30="7",BI30,0)</f>
        <v>0</v>
      </c>
      <c r="AF30" s="14">
        <f>IF(AQ30="2",BH30,0)</f>
        <v>0</v>
      </c>
      <c r="AG30" s="14">
        <f>IF(AQ30="2",BI30,0)</f>
        <v>0</v>
      </c>
      <c r="AH30" s="14">
        <f>IF(AQ30="0",BJ30,0)</f>
        <v>0</v>
      </c>
      <c r="AI30" s="43" t="s">
        <v>19</v>
      </c>
      <c r="AJ30" s="14">
        <f>IF(AN30=0,J30,0)</f>
        <v>0</v>
      </c>
      <c r="AK30" s="14">
        <f>IF(AN30=12,J30,0)</f>
        <v>0</v>
      </c>
      <c r="AL30" s="14">
        <f>IF(AN30=21,J30,0)</f>
        <v>0</v>
      </c>
      <c r="AN30" s="14">
        <v>21</v>
      </c>
      <c r="AO30" s="14">
        <f>G30*0.292902156</f>
        <v>0</v>
      </c>
      <c r="AP30" s="14">
        <f>G30*(1-0.292902156)</f>
        <v>0</v>
      </c>
      <c r="AQ30" s="13" t="s">
        <v>176</v>
      </c>
      <c r="AV30" s="14">
        <f>AW30+AX30</f>
        <v>0</v>
      </c>
      <c r="AW30" s="14">
        <f>F30*AO30</f>
        <v>0</v>
      </c>
      <c r="AX30" s="14">
        <f>F30*AP30</f>
        <v>0</v>
      </c>
      <c r="AY30" s="13" t="s">
        <v>222</v>
      </c>
      <c r="AZ30" s="13" t="s">
        <v>223</v>
      </c>
      <c r="BA30" s="43" t="s">
        <v>182</v>
      </c>
      <c r="BC30" s="14">
        <f>AW30+AX30</f>
        <v>0</v>
      </c>
      <c r="BD30" s="14">
        <f>G30/(100-BE30)*100</f>
        <v>0</v>
      </c>
      <c r="BE30" s="14">
        <v>0</v>
      </c>
      <c r="BF30" s="14">
        <f>30</f>
        <v>30</v>
      </c>
      <c r="BH30" s="14">
        <f>F30*AO30</f>
        <v>0</v>
      </c>
      <c r="BI30" s="14">
        <f>F30*AP30</f>
        <v>0</v>
      </c>
      <c r="BJ30" s="14">
        <f>F30*G30</f>
        <v>0</v>
      </c>
      <c r="BK30" s="14"/>
      <c r="BL30" s="14">
        <v>61</v>
      </c>
      <c r="BW30" s="14">
        <v>21</v>
      </c>
      <c r="BX30" s="4" t="s">
        <v>221</v>
      </c>
    </row>
    <row r="31" spans="1:76" ht="14.5" x14ac:dyDescent="0.35">
      <c r="A31" s="57"/>
      <c r="B31" s="58" t="s">
        <v>190</v>
      </c>
      <c r="C31" s="154" t="s">
        <v>224</v>
      </c>
      <c r="D31" s="155"/>
      <c r="E31" s="155"/>
      <c r="F31" s="155"/>
      <c r="G31" s="156"/>
      <c r="H31" s="155"/>
      <c r="I31" s="155"/>
      <c r="J31" s="157"/>
      <c r="BX31" s="59" t="s">
        <v>224</v>
      </c>
    </row>
    <row r="32" spans="1:76" ht="14.5" x14ac:dyDescent="0.35">
      <c r="A32" s="1" t="s">
        <v>225</v>
      </c>
      <c r="B32" s="2" t="s">
        <v>226</v>
      </c>
      <c r="C32" s="81" t="s">
        <v>227</v>
      </c>
      <c r="D32" s="75"/>
      <c r="E32" s="2" t="s">
        <v>203</v>
      </c>
      <c r="F32" s="14">
        <v>14.16</v>
      </c>
      <c r="G32" s="55">
        <v>0</v>
      </c>
      <c r="H32" s="14">
        <f>F32*AO32</f>
        <v>0</v>
      </c>
      <c r="I32" s="14">
        <f>F32*AP32</f>
        <v>0</v>
      </c>
      <c r="J32" s="56">
        <f>F32*G32</f>
        <v>0</v>
      </c>
      <c r="Z32" s="14">
        <f>IF(AQ32="5",BJ32,0)</f>
        <v>0</v>
      </c>
      <c r="AB32" s="14">
        <f>IF(AQ32="1",BH32,0)</f>
        <v>0</v>
      </c>
      <c r="AC32" s="14">
        <f>IF(AQ32="1",BI32,0)</f>
        <v>0</v>
      </c>
      <c r="AD32" s="14">
        <f>IF(AQ32="7",BH32,0)</f>
        <v>0</v>
      </c>
      <c r="AE32" s="14">
        <f>IF(AQ32="7",BI32,0)</f>
        <v>0</v>
      </c>
      <c r="AF32" s="14">
        <f>IF(AQ32="2",BH32,0)</f>
        <v>0</v>
      </c>
      <c r="AG32" s="14">
        <f>IF(AQ32="2",BI32,0)</f>
        <v>0</v>
      </c>
      <c r="AH32" s="14">
        <f>IF(AQ32="0",BJ32,0)</f>
        <v>0</v>
      </c>
      <c r="AI32" s="43" t="s">
        <v>19</v>
      </c>
      <c r="AJ32" s="14">
        <f>IF(AN32=0,J32,0)</f>
        <v>0</v>
      </c>
      <c r="AK32" s="14">
        <f>IF(AN32=12,J32,0)</f>
        <v>0</v>
      </c>
      <c r="AL32" s="14">
        <f>IF(AN32=21,J32,0)</f>
        <v>0</v>
      </c>
      <c r="AN32" s="14">
        <v>21</v>
      </c>
      <c r="AO32" s="14">
        <f>G32*0.334992272</f>
        <v>0</v>
      </c>
      <c r="AP32" s="14">
        <f>G32*(1-0.334992272)</f>
        <v>0</v>
      </c>
      <c r="AQ32" s="13" t="s">
        <v>176</v>
      </c>
      <c r="AV32" s="14">
        <f>AW32+AX32</f>
        <v>0</v>
      </c>
      <c r="AW32" s="14">
        <f>F32*AO32</f>
        <v>0</v>
      </c>
      <c r="AX32" s="14">
        <f>F32*AP32</f>
        <v>0</v>
      </c>
      <c r="AY32" s="13" t="s">
        <v>222</v>
      </c>
      <c r="AZ32" s="13" t="s">
        <v>223</v>
      </c>
      <c r="BA32" s="43" t="s">
        <v>182</v>
      </c>
      <c r="BC32" s="14">
        <f>AW32+AX32</f>
        <v>0</v>
      </c>
      <c r="BD32" s="14">
        <f>G32/(100-BE32)*100</f>
        <v>0</v>
      </c>
      <c r="BE32" s="14">
        <v>0</v>
      </c>
      <c r="BF32" s="14">
        <f>32</f>
        <v>32</v>
      </c>
      <c r="BH32" s="14">
        <f>F32*AO32</f>
        <v>0</v>
      </c>
      <c r="BI32" s="14">
        <f>F32*AP32</f>
        <v>0</v>
      </c>
      <c r="BJ32" s="14">
        <f>F32*G32</f>
        <v>0</v>
      </c>
      <c r="BK32" s="14"/>
      <c r="BL32" s="14">
        <v>61</v>
      </c>
      <c r="BW32" s="14">
        <v>21</v>
      </c>
      <c r="BX32" s="4" t="s">
        <v>227</v>
      </c>
    </row>
    <row r="33" spans="1:76" ht="14.5" x14ac:dyDescent="0.35">
      <c r="A33" s="57"/>
      <c r="B33" s="58" t="s">
        <v>190</v>
      </c>
      <c r="C33" s="154" t="s">
        <v>228</v>
      </c>
      <c r="D33" s="155"/>
      <c r="E33" s="155"/>
      <c r="F33" s="155"/>
      <c r="G33" s="156"/>
      <c r="H33" s="155"/>
      <c r="I33" s="155"/>
      <c r="J33" s="157"/>
      <c r="BX33" s="59" t="s">
        <v>228</v>
      </c>
    </row>
    <row r="34" spans="1:76" ht="14.5" x14ac:dyDescent="0.35">
      <c r="A34" s="1" t="s">
        <v>229</v>
      </c>
      <c r="B34" s="2" t="s">
        <v>230</v>
      </c>
      <c r="C34" s="81" t="s">
        <v>231</v>
      </c>
      <c r="D34" s="75"/>
      <c r="E34" s="2" t="s">
        <v>232</v>
      </c>
      <c r="F34" s="14">
        <v>9.6</v>
      </c>
      <c r="G34" s="55">
        <v>0</v>
      </c>
      <c r="H34" s="14">
        <f>F34*AO34</f>
        <v>0</v>
      </c>
      <c r="I34" s="14">
        <f>F34*AP34</f>
        <v>0</v>
      </c>
      <c r="J34" s="56">
        <f>F34*G34</f>
        <v>0</v>
      </c>
      <c r="Z34" s="14">
        <f>IF(AQ34="5",BJ34,0)</f>
        <v>0</v>
      </c>
      <c r="AB34" s="14">
        <f>IF(AQ34="1",BH34,0)</f>
        <v>0</v>
      </c>
      <c r="AC34" s="14">
        <f>IF(AQ34="1",BI34,0)</f>
        <v>0</v>
      </c>
      <c r="AD34" s="14">
        <f>IF(AQ34="7",BH34,0)</f>
        <v>0</v>
      </c>
      <c r="AE34" s="14">
        <f>IF(AQ34="7",BI34,0)</f>
        <v>0</v>
      </c>
      <c r="AF34" s="14">
        <f>IF(AQ34="2",BH34,0)</f>
        <v>0</v>
      </c>
      <c r="AG34" s="14">
        <f>IF(AQ34="2",BI34,0)</f>
        <v>0</v>
      </c>
      <c r="AH34" s="14">
        <f>IF(AQ34="0",BJ34,0)</f>
        <v>0</v>
      </c>
      <c r="AI34" s="43" t="s">
        <v>19</v>
      </c>
      <c r="AJ34" s="14">
        <f>IF(AN34=0,J34,0)</f>
        <v>0</v>
      </c>
      <c r="AK34" s="14">
        <f>IF(AN34=12,J34,0)</f>
        <v>0</v>
      </c>
      <c r="AL34" s="14">
        <f>IF(AN34=21,J34,0)</f>
        <v>0</v>
      </c>
      <c r="AN34" s="14">
        <v>21</v>
      </c>
      <c r="AO34" s="14">
        <f>G34*0.223544304</f>
        <v>0</v>
      </c>
      <c r="AP34" s="14">
        <f>G34*(1-0.223544304)</f>
        <v>0</v>
      </c>
      <c r="AQ34" s="13" t="s">
        <v>176</v>
      </c>
      <c r="AV34" s="14">
        <f>AW34+AX34</f>
        <v>0</v>
      </c>
      <c r="AW34" s="14">
        <f>F34*AO34</f>
        <v>0</v>
      </c>
      <c r="AX34" s="14">
        <f>F34*AP34</f>
        <v>0</v>
      </c>
      <c r="AY34" s="13" t="s">
        <v>222</v>
      </c>
      <c r="AZ34" s="13" t="s">
        <v>223</v>
      </c>
      <c r="BA34" s="43" t="s">
        <v>182</v>
      </c>
      <c r="BC34" s="14">
        <f>AW34+AX34</f>
        <v>0</v>
      </c>
      <c r="BD34" s="14">
        <f>G34/(100-BE34)*100</f>
        <v>0</v>
      </c>
      <c r="BE34" s="14">
        <v>0</v>
      </c>
      <c r="BF34" s="14">
        <f>34</f>
        <v>34</v>
      </c>
      <c r="BH34" s="14">
        <f>F34*AO34</f>
        <v>0</v>
      </c>
      <c r="BI34" s="14">
        <f>F34*AP34</f>
        <v>0</v>
      </c>
      <c r="BJ34" s="14">
        <f>F34*G34</f>
        <v>0</v>
      </c>
      <c r="BK34" s="14"/>
      <c r="BL34" s="14">
        <v>61</v>
      </c>
      <c r="BW34" s="14">
        <v>21</v>
      </c>
      <c r="BX34" s="4" t="s">
        <v>231</v>
      </c>
    </row>
    <row r="35" spans="1:76" ht="14.5" x14ac:dyDescent="0.35">
      <c r="A35" s="60" t="s">
        <v>19</v>
      </c>
      <c r="B35" s="61" t="s">
        <v>29</v>
      </c>
      <c r="C35" s="165" t="s">
        <v>30</v>
      </c>
      <c r="D35" s="166"/>
      <c r="E35" s="62" t="s">
        <v>3</v>
      </c>
      <c r="F35" s="62" t="s">
        <v>3</v>
      </c>
      <c r="G35" s="69" t="s">
        <v>3</v>
      </c>
      <c r="H35" s="38">
        <f>SUM(H36:H36)</f>
        <v>0</v>
      </c>
      <c r="I35" s="38">
        <f>SUM(I36:I36)</f>
        <v>0</v>
      </c>
      <c r="J35" s="64">
        <f>SUM(J36:J36)</f>
        <v>0</v>
      </c>
      <c r="AI35" s="43" t="s">
        <v>19</v>
      </c>
      <c r="AS35" s="38">
        <f>SUM(AJ36:AJ36)</f>
        <v>0</v>
      </c>
      <c r="AT35" s="38">
        <f>SUM(AK36:AK36)</f>
        <v>0</v>
      </c>
      <c r="AU35" s="38">
        <f>SUM(AL36:AL36)</f>
        <v>0</v>
      </c>
    </row>
    <row r="36" spans="1:76" ht="27" customHeight="1" x14ac:dyDescent="0.35">
      <c r="A36" s="1" t="s">
        <v>233</v>
      </c>
      <c r="B36" s="2" t="s">
        <v>234</v>
      </c>
      <c r="C36" s="81" t="s">
        <v>235</v>
      </c>
      <c r="D36" s="75"/>
      <c r="E36" s="2" t="s">
        <v>203</v>
      </c>
      <c r="F36" s="14">
        <v>19.920000000000002</v>
      </c>
      <c r="G36" s="55">
        <v>0</v>
      </c>
      <c r="H36" s="14">
        <f>F36*AO36</f>
        <v>0</v>
      </c>
      <c r="I36" s="14">
        <f>F36*AP36</f>
        <v>0</v>
      </c>
      <c r="J36" s="56">
        <f>F36*G36</f>
        <v>0</v>
      </c>
      <c r="Z36" s="14">
        <f>IF(AQ36="5",BJ36,0)</f>
        <v>0</v>
      </c>
      <c r="AB36" s="14">
        <f>IF(AQ36="1",BH36,0)</f>
        <v>0</v>
      </c>
      <c r="AC36" s="14">
        <f>IF(AQ36="1",BI36,0)</f>
        <v>0</v>
      </c>
      <c r="AD36" s="14">
        <f>IF(AQ36="7",BH36,0)</f>
        <v>0</v>
      </c>
      <c r="AE36" s="14">
        <f>IF(AQ36="7",BI36,0)</f>
        <v>0</v>
      </c>
      <c r="AF36" s="14">
        <f>IF(AQ36="2",BH36,0)</f>
        <v>0</v>
      </c>
      <c r="AG36" s="14">
        <f>IF(AQ36="2",BI36,0)</f>
        <v>0</v>
      </c>
      <c r="AH36" s="14">
        <f>IF(AQ36="0",BJ36,0)</f>
        <v>0</v>
      </c>
      <c r="AI36" s="43" t="s">
        <v>19</v>
      </c>
      <c r="AJ36" s="14">
        <f>IF(AN36=0,J36,0)</f>
        <v>0</v>
      </c>
      <c r="AK36" s="14">
        <f>IF(AN36=12,J36,0)</f>
        <v>0</v>
      </c>
      <c r="AL36" s="14">
        <f>IF(AN36=21,J36,0)</f>
        <v>0</v>
      </c>
      <c r="AN36" s="14">
        <v>21</v>
      </c>
      <c r="AO36" s="14">
        <f>G36*0.334913641</f>
        <v>0</v>
      </c>
      <c r="AP36" s="14">
        <f>G36*(1-0.334913641)</f>
        <v>0</v>
      </c>
      <c r="AQ36" s="13" t="s">
        <v>176</v>
      </c>
      <c r="AV36" s="14">
        <f>AW36+AX36</f>
        <v>0</v>
      </c>
      <c r="AW36" s="14">
        <f>F36*AO36</f>
        <v>0</v>
      </c>
      <c r="AX36" s="14">
        <f>F36*AP36</f>
        <v>0</v>
      </c>
      <c r="AY36" s="13" t="s">
        <v>236</v>
      </c>
      <c r="AZ36" s="13" t="s">
        <v>223</v>
      </c>
      <c r="BA36" s="43" t="s">
        <v>182</v>
      </c>
      <c r="BC36" s="14">
        <f>AW36+AX36</f>
        <v>0</v>
      </c>
      <c r="BD36" s="14">
        <f>G36/(100-BE36)*100</f>
        <v>0</v>
      </c>
      <c r="BE36" s="14">
        <v>0</v>
      </c>
      <c r="BF36" s="14">
        <f>36</f>
        <v>36</v>
      </c>
      <c r="BH36" s="14">
        <f>F36*AO36</f>
        <v>0</v>
      </c>
      <c r="BI36" s="14">
        <f>F36*AP36</f>
        <v>0</v>
      </c>
      <c r="BJ36" s="14">
        <f>F36*G36</f>
        <v>0</v>
      </c>
      <c r="BK36" s="14"/>
      <c r="BL36" s="14">
        <v>62</v>
      </c>
      <c r="BW36" s="14">
        <v>21</v>
      </c>
      <c r="BX36" s="4" t="s">
        <v>235</v>
      </c>
    </row>
    <row r="37" spans="1:76" ht="52" x14ac:dyDescent="0.35">
      <c r="A37" s="57"/>
      <c r="B37" s="58" t="s">
        <v>190</v>
      </c>
      <c r="C37" s="154" t="s">
        <v>237</v>
      </c>
      <c r="D37" s="155"/>
      <c r="E37" s="155"/>
      <c r="F37" s="155"/>
      <c r="G37" s="156"/>
      <c r="H37" s="155"/>
      <c r="I37" s="155"/>
      <c r="J37" s="157"/>
      <c r="BX37" s="59" t="s">
        <v>237</v>
      </c>
    </row>
    <row r="38" spans="1:76" ht="14.5" x14ac:dyDescent="0.35">
      <c r="A38" s="60" t="s">
        <v>19</v>
      </c>
      <c r="B38" s="61" t="s">
        <v>31</v>
      </c>
      <c r="C38" s="165" t="s">
        <v>32</v>
      </c>
      <c r="D38" s="166"/>
      <c r="E38" s="62" t="s">
        <v>3</v>
      </c>
      <c r="F38" s="62" t="s">
        <v>3</v>
      </c>
      <c r="G38" s="69" t="s">
        <v>3</v>
      </c>
      <c r="H38" s="38">
        <f>SUM(H39:H43)</f>
        <v>0</v>
      </c>
      <c r="I38" s="38">
        <f>SUM(I39:I43)</f>
        <v>0</v>
      </c>
      <c r="J38" s="64">
        <f>SUM(J39:J43)</f>
        <v>0</v>
      </c>
      <c r="AI38" s="43" t="s">
        <v>19</v>
      </c>
      <c r="AS38" s="38">
        <f>SUM(AJ39:AJ43)</f>
        <v>0</v>
      </c>
      <c r="AT38" s="38">
        <f>SUM(AK39:AK43)</f>
        <v>0</v>
      </c>
      <c r="AU38" s="38">
        <f>SUM(AL39:AL43)</f>
        <v>0</v>
      </c>
    </row>
    <row r="39" spans="1:76" ht="14.5" x14ac:dyDescent="0.35">
      <c r="A39" s="1" t="s">
        <v>238</v>
      </c>
      <c r="B39" s="2" t="s">
        <v>239</v>
      </c>
      <c r="C39" s="81" t="s">
        <v>240</v>
      </c>
      <c r="D39" s="75"/>
      <c r="E39" s="2" t="s">
        <v>203</v>
      </c>
      <c r="F39" s="14">
        <v>16</v>
      </c>
      <c r="G39" s="55">
        <v>0</v>
      </c>
      <c r="H39" s="14">
        <f>F39*AO39</f>
        <v>0</v>
      </c>
      <c r="I39" s="14">
        <f>F39*AP39</f>
        <v>0</v>
      </c>
      <c r="J39" s="56">
        <f>F39*G39</f>
        <v>0</v>
      </c>
      <c r="Z39" s="14">
        <f>IF(AQ39="5",BJ39,0)</f>
        <v>0</v>
      </c>
      <c r="AB39" s="14">
        <f>IF(AQ39="1",BH39,0)</f>
        <v>0</v>
      </c>
      <c r="AC39" s="14">
        <f>IF(AQ39="1",BI39,0)</f>
        <v>0</v>
      </c>
      <c r="AD39" s="14">
        <f>IF(AQ39="7",BH39,0)</f>
        <v>0</v>
      </c>
      <c r="AE39" s="14">
        <f>IF(AQ39="7",BI39,0)</f>
        <v>0</v>
      </c>
      <c r="AF39" s="14">
        <f>IF(AQ39="2",BH39,0)</f>
        <v>0</v>
      </c>
      <c r="AG39" s="14">
        <f>IF(AQ39="2",BI39,0)</f>
        <v>0</v>
      </c>
      <c r="AH39" s="14">
        <f>IF(AQ39="0",BJ39,0)</f>
        <v>0</v>
      </c>
      <c r="AI39" s="43" t="s">
        <v>19</v>
      </c>
      <c r="AJ39" s="14">
        <f>IF(AN39=0,J39,0)</f>
        <v>0</v>
      </c>
      <c r="AK39" s="14">
        <f>IF(AN39=12,J39,0)</f>
        <v>0</v>
      </c>
      <c r="AL39" s="14">
        <f>IF(AN39=21,J39,0)</f>
        <v>0</v>
      </c>
      <c r="AN39" s="14">
        <v>21</v>
      </c>
      <c r="AO39" s="14">
        <f>G39*0.640711744</f>
        <v>0</v>
      </c>
      <c r="AP39" s="14">
        <f>G39*(1-0.640711744)</f>
        <v>0</v>
      </c>
      <c r="AQ39" s="13" t="s">
        <v>176</v>
      </c>
      <c r="AV39" s="14">
        <f>AW39+AX39</f>
        <v>0</v>
      </c>
      <c r="AW39" s="14">
        <f>F39*AO39</f>
        <v>0</v>
      </c>
      <c r="AX39" s="14">
        <f>F39*AP39</f>
        <v>0</v>
      </c>
      <c r="AY39" s="13" t="s">
        <v>241</v>
      </c>
      <c r="AZ39" s="13" t="s">
        <v>223</v>
      </c>
      <c r="BA39" s="43" t="s">
        <v>182</v>
      </c>
      <c r="BC39" s="14">
        <f>AW39+AX39</f>
        <v>0</v>
      </c>
      <c r="BD39" s="14">
        <f>G39/(100-BE39)*100</f>
        <v>0</v>
      </c>
      <c r="BE39" s="14">
        <v>0</v>
      </c>
      <c r="BF39" s="14">
        <f>39</f>
        <v>39</v>
      </c>
      <c r="BH39" s="14">
        <f>F39*AO39</f>
        <v>0</v>
      </c>
      <c r="BI39" s="14">
        <f>F39*AP39</f>
        <v>0</v>
      </c>
      <c r="BJ39" s="14">
        <f>F39*G39</f>
        <v>0</v>
      </c>
      <c r="BK39" s="14"/>
      <c r="BL39" s="14">
        <v>63</v>
      </c>
      <c r="BW39" s="14">
        <v>21</v>
      </c>
      <c r="BX39" s="4" t="s">
        <v>240</v>
      </c>
    </row>
    <row r="40" spans="1:76" ht="14.5" x14ac:dyDescent="0.35">
      <c r="A40" s="57"/>
      <c r="B40" s="58" t="s">
        <v>190</v>
      </c>
      <c r="C40" s="154" t="s">
        <v>773</v>
      </c>
      <c r="D40" s="155"/>
      <c r="E40" s="155"/>
      <c r="F40" s="155"/>
      <c r="G40" s="156"/>
      <c r="H40" s="155"/>
      <c r="I40" s="155"/>
      <c r="J40" s="157"/>
      <c r="BX40" s="59" t="s">
        <v>242</v>
      </c>
    </row>
    <row r="41" spans="1:76" ht="14.5" x14ac:dyDescent="0.35">
      <c r="A41" s="1" t="s">
        <v>243</v>
      </c>
      <c r="B41" s="2" t="s">
        <v>244</v>
      </c>
      <c r="C41" s="81" t="s">
        <v>245</v>
      </c>
      <c r="D41" s="75"/>
      <c r="E41" s="2" t="s">
        <v>179</v>
      </c>
      <c r="F41" s="14">
        <v>0.16800000000000001</v>
      </c>
      <c r="G41" s="55">
        <v>0</v>
      </c>
      <c r="H41" s="14">
        <f>F41*AO41</f>
        <v>0</v>
      </c>
      <c r="I41" s="14">
        <f>F41*AP41</f>
        <v>0</v>
      </c>
      <c r="J41" s="56">
        <f>F41*G41</f>
        <v>0</v>
      </c>
      <c r="Z41" s="14">
        <f>IF(AQ41="5",BJ41,0)</f>
        <v>0</v>
      </c>
      <c r="AB41" s="14">
        <f>IF(AQ41="1",BH41,0)</f>
        <v>0</v>
      </c>
      <c r="AC41" s="14">
        <f>IF(AQ41="1",BI41,0)</f>
        <v>0</v>
      </c>
      <c r="AD41" s="14">
        <f>IF(AQ41="7",BH41,0)</f>
        <v>0</v>
      </c>
      <c r="AE41" s="14">
        <f>IF(AQ41="7",BI41,0)</f>
        <v>0</v>
      </c>
      <c r="AF41" s="14">
        <f>IF(AQ41="2",BH41,0)</f>
        <v>0</v>
      </c>
      <c r="AG41" s="14">
        <f>IF(AQ41="2",BI41,0)</f>
        <v>0</v>
      </c>
      <c r="AH41" s="14">
        <f>IF(AQ41="0",BJ41,0)</f>
        <v>0</v>
      </c>
      <c r="AI41" s="43" t="s">
        <v>19</v>
      </c>
      <c r="AJ41" s="14">
        <f>IF(AN41=0,J41,0)</f>
        <v>0</v>
      </c>
      <c r="AK41" s="14">
        <f>IF(AN41=12,J41,0)</f>
        <v>0</v>
      </c>
      <c r="AL41" s="14">
        <f>IF(AN41=21,J41,0)</f>
        <v>0</v>
      </c>
      <c r="AN41" s="14">
        <v>21</v>
      </c>
      <c r="AO41" s="14">
        <f>G41*0.700132942</f>
        <v>0</v>
      </c>
      <c r="AP41" s="14">
        <f>G41*(1-0.700132942)</f>
        <v>0</v>
      </c>
      <c r="AQ41" s="13" t="s">
        <v>176</v>
      </c>
      <c r="AV41" s="14">
        <f>AW41+AX41</f>
        <v>0</v>
      </c>
      <c r="AW41" s="14">
        <f>F41*AO41</f>
        <v>0</v>
      </c>
      <c r="AX41" s="14">
        <f>F41*AP41</f>
        <v>0</v>
      </c>
      <c r="AY41" s="13" t="s">
        <v>241</v>
      </c>
      <c r="AZ41" s="13" t="s">
        <v>223</v>
      </c>
      <c r="BA41" s="43" t="s">
        <v>182</v>
      </c>
      <c r="BC41" s="14">
        <f>AW41+AX41</f>
        <v>0</v>
      </c>
      <c r="BD41" s="14">
        <f>G41/(100-BE41)*100</f>
        <v>0</v>
      </c>
      <c r="BE41" s="14">
        <v>0</v>
      </c>
      <c r="BF41" s="14">
        <f>41</f>
        <v>41</v>
      </c>
      <c r="BH41" s="14">
        <f>F41*AO41</f>
        <v>0</v>
      </c>
      <c r="BI41" s="14">
        <f>F41*AP41</f>
        <v>0</v>
      </c>
      <c r="BJ41" s="14">
        <f>F41*G41</f>
        <v>0</v>
      </c>
      <c r="BK41" s="14"/>
      <c r="BL41" s="14">
        <v>63</v>
      </c>
      <c r="BW41" s="14">
        <v>21</v>
      </c>
      <c r="BX41" s="4" t="s">
        <v>245</v>
      </c>
    </row>
    <row r="42" spans="1:76" ht="52" x14ac:dyDescent="0.35">
      <c r="A42" s="57"/>
      <c r="B42" s="58" t="s">
        <v>190</v>
      </c>
      <c r="C42" s="154" t="s">
        <v>246</v>
      </c>
      <c r="D42" s="155"/>
      <c r="E42" s="155"/>
      <c r="F42" s="155"/>
      <c r="G42" s="156"/>
      <c r="H42" s="155"/>
      <c r="I42" s="155"/>
      <c r="J42" s="157"/>
      <c r="BX42" s="59" t="s">
        <v>246</v>
      </c>
    </row>
    <row r="43" spans="1:76" ht="14.5" x14ac:dyDescent="0.35">
      <c r="A43" s="1" t="s">
        <v>247</v>
      </c>
      <c r="B43" s="2" t="s">
        <v>248</v>
      </c>
      <c r="C43" s="81" t="s">
        <v>249</v>
      </c>
      <c r="D43" s="75"/>
      <c r="E43" s="2" t="s">
        <v>179</v>
      </c>
      <c r="F43" s="14">
        <v>0.16800000000000001</v>
      </c>
      <c r="G43" s="55">
        <v>0</v>
      </c>
      <c r="H43" s="14">
        <f>F43*AO43</f>
        <v>0</v>
      </c>
      <c r="I43" s="14">
        <f>F43*AP43</f>
        <v>0</v>
      </c>
      <c r="J43" s="56">
        <f>F43*G43</f>
        <v>0</v>
      </c>
      <c r="Z43" s="14">
        <f>IF(AQ43="5",BJ43,0)</f>
        <v>0</v>
      </c>
      <c r="AB43" s="14">
        <f>IF(AQ43="1",BH43,0)</f>
        <v>0</v>
      </c>
      <c r="AC43" s="14">
        <f>IF(AQ43="1",BI43,0)</f>
        <v>0</v>
      </c>
      <c r="AD43" s="14">
        <f>IF(AQ43="7",BH43,0)</f>
        <v>0</v>
      </c>
      <c r="AE43" s="14">
        <f>IF(AQ43="7",BI43,0)</f>
        <v>0</v>
      </c>
      <c r="AF43" s="14">
        <f>IF(AQ43="2",BH43,0)</f>
        <v>0</v>
      </c>
      <c r="AG43" s="14">
        <f>IF(AQ43="2",BI43,0)</f>
        <v>0</v>
      </c>
      <c r="AH43" s="14">
        <f>IF(AQ43="0",BJ43,0)</f>
        <v>0</v>
      </c>
      <c r="AI43" s="43" t="s">
        <v>19</v>
      </c>
      <c r="AJ43" s="14">
        <f>IF(AN43=0,J43,0)</f>
        <v>0</v>
      </c>
      <c r="AK43" s="14">
        <f>IF(AN43=12,J43,0)</f>
        <v>0</v>
      </c>
      <c r="AL43" s="14">
        <f>IF(AN43=21,J43,0)</f>
        <v>0</v>
      </c>
      <c r="AN43" s="14">
        <v>21</v>
      </c>
      <c r="AO43" s="14">
        <f>G43*0</f>
        <v>0</v>
      </c>
      <c r="AP43" s="14">
        <f>G43*(1-0)</f>
        <v>0</v>
      </c>
      <c r="AQ43" s="13" t="s">
        <v>176</v>
      </c>
      <c r="AV43" s="14">
        <f>AW43+AX43</f>
        <v>0</v>
      </c>
      <c r="AW43" s="14">
        <f>F43*AO43</f>
        <v>0</v>
      </c>
      <c r="AX43" s="14">
        <f>F43*AP43</f>
        <v>0</v>
      </c>
      <c r="AY43" s="13" t="s">
        <v>241</v>
      </c>
      <c r="AZ43" s="13" t="s">
        <v>223</v>
      </c>
      <c r="BA43" s="43" t="s">
        <v>182</v>
      </c>
      <c r="BC43" s="14">
        <f>AW43+AX43</f>
        <v>0</v>
      </c>
      <c r="BD43" s="14">
        <f>G43/(100-BE43)*100</f>
        <v>0</v>
      </c>
      <c r="BE43" s="14">
        <v>0</v>
      </c>
      <c r="BF43" s="14">
        <f>43</f>
        <v>43</v>
      </c>
      <c r="BH43" s="14">
        <f>F43*AO43</f>
        <v>0</v>
      </c>
      <c r="BI43" s="14">
        <f>F43*AP43</f>
        <v>0</v>
      </c>
      <c r="BJ43" s="14">
        <f>F43*G43</f>
        <v>0</v>
      </c>
      <c r="BK43" s="14"/>
      <c r="BL43" s="14">
        <v>63</v>
      </c>
      <c r="BW43" s="14">
        <v>21</v>
      </c>
      <c r="BX43" s="4" t="s">
        <v>249</v>
      </c>
    </row>
    <row r="44" spans="1:76" ht="14.5" x14ac:dyDescent="0.35">
      <c r="A44" s="57"/>
      <c r="B44" s="58" t="s">
        <v>190</v>
      </c>
      <c r="C44" s="154" t="s">
        <v>250</v>
      </c>
      <c r="D44" s="155"/>
      <c r="E44" s="155"/>
      <c r="F44" s="155"/>
      <c r="G44" s="156"/>
      <c r="H44" s="155"/>
      <c r="I44" s="155"/>
      <c r="J44" s="157"/>
      <c r="BX44" s="59" t="s">
        <v>250</v>
      </c>
    </row>
    <row r="45" spans="1:76" ht="14.5" x14ac:dyDescent="0.35">
      <c r="A45" s="60" t="s">
        <v>19</v>
      </c>
      <c r="B45" s="61" t="s">
        <v>33</v>
      </c>
      <c r="C45" s="165" t="s">
        <v>34</v>
      </c>
      <c r="D45" s="166"/>
      <c r="E45" s="62" t="s">
        <v>3</v>
      </c>
      <c r="F45" s="62" t="s">
        <v>3</v>
      </c>
      <c r="G45" s="69" t="s">
        <v>3</v>
      </c>
      <c r="H45" s="38">
        <f>SUM(H46:H48)</f>
        <v>0</v>
      </c>
      <c r="I45" s="38">
        <f>SUM(I46:I48)</f>
        <v>0</v>
      </c>
      <c r="J45" s="64">
        <f>SUM(J46:J48)</f>
        <v>0</v>
      </c>
      <c r="AI45" s="43" t="s">
        <v>19</v>
      </c>
      <c r="AS45" s="38">
        <f>SUM(AJ46:AJ48)</f>
        <v>0</v>
      </c>
      <c r="AT45" s="38">
        <f>SUM(AK46:AK48)</f>
        <v>0</v>
      </c>
      <c r="AU45" s="38">
        <f>SUM(AL46:AL48)</f>
        <v>0</v>
      </c>
    </row>
    <row r="46" spans="1:76" ht="14.5" x14ac:dyDescent="0.35">
      <c r="A46" s="1" t="s">
        <v>251</v>
      </c>
      <c r="B46" s="2" t="s">
        <v>252</v>
      </c>
      <c r="C46" s="81" t="s">
        <v>253</v>
      </c>
      <c r="D46" s="75"/>
      <c r="E46" s="2" t="s">
        <v>215</v>
      </c>
      <c r="F46" s="14">
        <v>2</v>
      </c>
      <c r="G46" s="55">
        <v>0</v>
      </c>
      <c r="H46" s="14">
        <f>F46*AO46</f>
        <v>0</v>
      </c>
      <c r="I46" s="14">
        <f>F46*AP46</f>
        <v>0</v>
      </c>
      <c r="J46" s="56">
        <f>F46*G46</f>
        <v>0</v>
      </c>
      <c r="Z46" s="14">
        <f>IF(AQ46="5",BJ46,0)</f>
        <v>0</v>
      </c>
      <c r="AB46" s="14">
        <f>IF(AQ46="1",BH46,0)</f>
        <v>0</v>
      </c>
      <c r="AC46" s="14">
        <f>IF(AQ46="1",BI46,0)</f>
        <v>0</v>
      </c>
      <c r="AD46" s="14">
        <f>IF(AQ46="7",BH46,0)</f>
        <v>0</v>
      </c>
      <c r="AE46" s="14">
        <f>IF(AQ46="7",BI46,0)</f>
        <v>0</v>
      </c>
      <c r="AF46" s="14">
        <f>IF(AQ46="2",BH46,0)</f>
        <v>0</v>
      </c>
      <c r="AG46" s="14">
        <f>IF(AQ46="2",BI46,0)</f>
        <v>0</v>
      </c>
      <c r="AH46" s="14">
        <f>IF(AQ46="0",BJ46,0)</f>
        <v>0</v>
      </c>
      <c r="AI46" s="43" t="s">
        <v>19</v>
      </c>
      <c r="AJ46" s="14">
        <f>IF(AN46=0,J46,0)</f>
        <v>0</v>
      </c>
      <c r="AK46" s="14">
        <f>IF(AN46=12,J46,0)</f>
        <v>0</v>
      </c>
      <c r="AL46" s="14">
        <f>IF(AN46=21,J46,0)</f>
        <v>0</v>
      </c>
      <c r="AN46" s="14">
        <v>21</v>
      </c>
      <c r="AO46" s="14">
        <f>G46*0.632446824</f>
        <v>0</v>
      </c>
      <c r="AP46" s="14">
        <f>G46*(1-0.632446824)</f>
        <v>0</v>
      </c>
      <c r="AQ46" s="13" t="s">
        <v>176</v>
      </c>
      <c r="AV46" s="14">
        <f>AW46+AX46</f>
        <v>0</v>
      </c>
      <c r="AW46" s="14">
        <f>F46*AO46</f>
        <v>0</v>
      </c>
      <c r="AX46" s="14">
        <f>F46*AP46</f>
        <v>0</v>
      </c>
      <c r="AY46" s="13" t="s">
        <v>254</v>
      </c>
      <c r="AZ46" s="13" t="s">
        <v>223</v>
      </c>
      <c r="BA46" s="43" t="s">
        <v>182</v>
      </c>
      <c r="BC46" s="14">
        <f>AW46+AX46</f>
        <v>0</v>
      </c>
      <c r="BD46" s="14">
        <f>G46/(100-BE46)*100</f>
        <v>0</v>
      </c>
      <c r="BE46" s="14">
        <v>0</v>
      </c>
      <c r="BF46" s="14">
        <f>46</f>
        <v>46</v>
      </c>
      <c r="BH46" s="14">
        <f>F46*AO46</f>
        <v>0</v>
      </c>
      <c r="BI46" s="14">
        <f>F46*AP46</f>
        <v>0</v>
      </c>
      <c r="BJ46" s="14">
        <f>F46*G46</f>
        <v>0</v>
      </c>
      <c r="BK46" s="14"/>
      <c r="BL46" s="14">
        <v>64</v>
      </c>
      <c r="BW46" s="14">
        <v>21</v>
      </c>
      <c r="BX46" s="4" t="s">
        <v>253</v>
      </c>
    </row>
    <row r="47" spans="1:76" ht="26" x14ac:dyDescent="0.35">
      <c r="A47" s="57"/>
      <c r="B47" s="58" t="s">
        <v>190</v>
      </c>
      <c r="C47" s="154" t="s">
        <v>255</v>
      </c>
      <c r="D47" s="155"/>
      <c r="E47" s="155"/>
      <c r="F47" s="155"/>
      <c r="G47" s="156"/>
      <c r="H47" s="155"/>
      <c r="I47" s="155"/>
      <c r="J47" s="157"/>
      <c r="BX47" s="59" t="s">
        <v>255</v>
      </c>
    </row>
    <row r="48" spans="1:76" ht="14.5" x14ac:dyDescent="0.35">
      <c r="A48" s="1" t="s">
        <v>256</v>
      </c>
      <c r="B48" s="2" t="s">
        <v>257</v>
      </c>
      <c r="C48" s="81" t="s">
        <v>258</v>
      </c>
      <c r="D48" s="75"/>
      <c r="E48" s="2" t="s">
        <v>215</v>
      </c>
      <c r="F48" s="14">
        <v>2</v>
      </c>
      <c r="G48" s="55">
        <v>0</v>
      </c>
      <c r="H48" s="14">
        <f>F48*AO48</f>
        <v>0</v>
      </c>
      <c r="I48" s="14">
        <f>F48*AP48</f>
        <v>0</v>
      </c>
      <c r="J48" s="56">
        <f>F48*G48</f>
        <v>0</v>
      </c>
      <c r="Z48" s="14">
        <f>IF(AQ48="5",BJ48,0)</f>
        <v>0</v>
      </c>
      <c r="AB48" s="14">
        <f>IF(AQ48="1",BH48,0)</f>
        <v>0</v>
      </c>
      <c r="AC48" s="14">
        <f>IF(AQ48="1",BI48,0)</f>
        <v>0</v>
      </c>
      <c r="AD48" s="14">
        <f>IF(AQ48="7",BH48,0)</f>
        <v>0</v>
      </c>
      <c r="AE48" s="14">
        <f>IF(AQ48="7",BI48,0)</f>
        <v>0</v>
      </c>
      <c r="AF48" s="14">
        <f>IF(AQ48="2",BH48,0)</f>
        <v>0</v>
      </c>
      <c r="AG48" s="14">
        <f>IF(AQ48="2",BI48,0)</f>
        <v>0</v>
      </c>
      <c r="AH48" s="14">
        <f>IF(AQ48="0",BJ48,0)</f>
        <v>0</v>
      </c>
      <c r="AI48" s="43" t="s">
        <v>19</v>
      </c>
      <c r="AJ48" s="14">
        <f>IF(AN48=0,J48,0)</f>
        <v>0</v>
      </c>
      <c r="AK48" s="14">
        <f>IF(AN48=12,J48,0)</f>
        <v>0</v>
      </c>
      <c r="AL48" s="14">
        <f>IF(AN48=21,J48,0)</f>
        <v>0</v>
      </c>
      <c r="AN48" s="14">
        <v>21</v>
      </c>
      <c r="AO48" s="14">
        <f>G48*1</f>
        <v>0</v>
      </c>
      <c r="AP48" s="14">
        <f>G48*(1-1)</f>
        <v>0</v>
      </c>
      <c r="AQ48" s="13" t="s">
        <v>176</v>
      </c>
      <c r="AV48" s="14">
        <f>AW48+AX48</f>
        <v>0</v>
      </c>
      <c r="AW48" s="14">
        <f>F48*AO48</f>
        <v>0</v>
      </c>
      <c r="AX48" s="14">
        <f>F48*AP48</f>
        <v>0</v>
      </c>
      <c r="AY48" s="13" t="s">
        <v>254</v>
      </c>
      <c r="AZ48" s="13" t="s">
        <v>223</v>
      </c>
      <c r="BA48" s="43" t="s">
        <v>182</v>
      </c>
      <c r="BC48" s="14">
        <f>AW48+AX48</f>
        <v>0</v>
      </c>
      <c r="BD48" s="14">
        <f>G48/(100-BE48)*100</f>
        <v>0</v>
      </c>
      <c r="BE48" s="14">
        <v>0</v>
      </c>
      <c r="BF48" s="14">
        <f>48</f>
        <v>48</v>
      </c>
      <c r="BH48" s="14">
        <f>F48*AO48</f>
        <v>0</v>
      </c>
      <c r="BI48" s="14">
        <f>F48*AP48</f>
        <v>0</v>
      </c>
      <c r="BJ48" s="14">
        <f>F48*G48</f>
        <v>0</v>
      </c>
      <c r="BK48" s="14"/>
      <c r="BL48" s="14">
        <v>64</v>
      </c>
      <c r="BW48" s="14">
        <v>21</v>
      </c>
      <c r="BX48" s="4" t="s">
        <v>258</v>
      </c>
    </row>
    <row r="49" spans="1:76" ht="14.5" x14ac:dyDescent="0.35">
      <c r="A49" s="57"/>
      <c r="B49" s="58" t="s">
        <v>190</v>
      </c>
      <c r="C49" s="154" t="s">
        <v>259</v>
      </c>
      <c r="D49" s="155"/>
      <c r="E49" s="155"/>
      <c r="F49" s="155"/>
      <c r="G49" s="156"/>
      <c r="H49" s="155"/>
      <c r="I49" s="155"/>
      <c r="J49" s="157"/>
      <c r="BX49" s="59" t="s">
        <v>259</v>
      </c>
    </row>
    <row r="50" spans="1:76" ht="14.5" x14ac:dyDescent="0.35">
      <c r="A50" s="60" t="s">
        <v>19</v>
      </c>
      <c r="B50" s="61" t="s">
        <v>35</v>
      </c>
      <c r="C50" s="165" t="s">
        <v>36</v>
      </c>
      <c r="D50" s="166"/>
      <c r="E50" s="62" t="s">
        <v>3</v>
      </c>
      <c r="F50" s="62" t="s">
        <v>3</v>
      </c>
      <c r="G50" s="69" t="s">
        <v>3</v>
      </c>
      <c r="H50" s="38">
        <f>SUM(H51:H53)</f>
        <v>0</v>
      </c>
      <c r="I50" s="38">
        <f>SUM(I51:I53)</f>
        <v>0</v>
      </c>
      <c r="J50" s="64">
        <f>SUM(J51:J53)</f>
        <v>0</v>
      </c>
      <c r="AI50" s="43" t="s">
        <v>19</v>
      </c>
      <c r="AS50" s="38">
        <f>SUM(AJ51:AJ53)</f>
        <v>0</v>
      </c>
      <c r="AT50" s="38">
        <f>SUM(AK51:AK53)</f>
        <v>0</v>
      </c>
      <c r="AU50" s="38">
        <f>SUM(AL51:AL53)</f>
        <v>0</v>
      </c>
    </row>
    <row r="51" spans="1:76" ht="14.5" x14ac:dyDescent="0.35">
      <c r="A51" s="1" t="s">
        <v>260</v>
      </c>
      <c r="B51" s="2" t="s">
        <v>261</v>
      </c>
      <c r="C51" s="81" t="s">
        <v>262</v>
      </c>
      <c r="D51" s="75"/>
      <c r="E51" s="2" t="s">
        <v>203</v>
      </c>
      <c r="F51" s="14">
        <v>32.1</v>
      </c>
      <c r="G51" s="55">
        <v>0</v>
      </c>
      <c r="H51" s="14">
        <f>F51*AO51</f>
        <v>0</v>
      </c>
      <c r="I51" s="14">
        <f>F51*AP51</f>
        <v>0</v>
      </c>
      <c r="J51" s="56">
        <f>F51*G51</f>
        <v>0</v>
      </c>
      <c r="Z51" s="14">
        <f>IF(AQ51="5",BJ51,0)</f>
        <v>0</v>
      </c>
      <c r="AB51" s="14">
        <f>IF(AQ51="1",BH51,0)</f>
        <v>0</v>
      </c>
      <c r="AC51" s="14">
        <f>IF(AQ51="1",BI51,0)</f>
        <v>0</v>
      </c>
      <c r="AD51" s="14">
        <f>IF(AQ51="7",BH51,0)</f>
        <v>0</v>
      </c>
      <c r="AE51" s="14">
        <f>IF(AQ51="7",BI51,0)</f>
        <v>0</v>
      </c>
      <c r="AF51" s="14">
        <f>IF(AQ51="2",BH51,0)</f>
        <v>0</v>
      </c>
      <c r="AG51" s="14">
        <f>IF(AQ51="2",BI51,0)</f>
        <v>0</v>
      </c>
      <c r="AH51" s="14">
        <f>IF(AQ51="0",BJ51,0)</f>
        <v>0</v>
      </c>
      <c r="AI51" s="43" t="s">
        <v>19</v>
      </c>
      <c r="AJ51" s="14">
        <f>IF(AN51=0,J51,0)</f>
        <v>0</v>
      </c>
      <c r="AK51" s="14">
        <f>IF(AN51=12,J51,0)</f>
        <v>0</v>
      </c>
      <c r="AL51" s="14">
        <f>IF(AN51=21,J51,0)</f>
        <v>0</v>
      </c>
      <c r="AN51" s="14">
        <v>21</v>
      </c>
      <c r="AO51" s="14">
        <f>G51*0.694751381</f>
        <v>0</v>
      </c>
      <c r="AP51" s="14">
        <f>G51*(1-0.694751381)</f>
        <v>0</v>
      </c>
      <c r="AQ51" s="13" t="s">
        <v>205</v>
      </c>
      <c r="AV51" s="14">
        <f>AW51+AX51</f>
        <v>0</v>
      </c>
      <c r="AW51" s="14">
        <f>F51*AO51</f>
        <v>0</v>
      </c>
      <c r="AX51" s="14">
        <f>F51*AP51</f>
        <v>0</v>
      </c>
      <c r="AY51" s="13" t="s">
        <v>263</v>
      </c>
      <c r="AZ51" s="13" t="s">
        <v>264</v>
      </c>
      <c r="BA51" s="43" t="s">
        <v>182</v>
      </c>
      <c r="BC51" s="14">
        <f>AW51+AX51</f>
        <v>0</v>
      </c>
      <c r="BD51" s="14">
        <f>G51/(100-BE51)*100</f>
        <v>0</v>
      </c>
      <c r="BE51" s="14">
        <v>0</v>
      </c>
      <c r="BF51" s="14">
        <f>51</f>
        <v>51</v>
      </c>
      <c r="BH51" s="14">
        <f>F51*AO51</f>
        <v>0</v>
      </c>
      <c r="BI51" s="14">
        <f>F51*AP51</f>
        <v>0</v>
      </c>
      <c r="BJ51" s="14">
        <f>F51*G51</f>
        <v>0</v>
      </c>
      <c r="BK51" s="14"/>
      <c r="BL51" s="14">
        <v>711</v>
      </c>
      <c r="BW51" s="14">
        <v>21</v>
      </c>
      <c r="BX51" s="4" t="s">
        <v>262</v>
      </c>
    </row>
    <row r="52" spans="1:76" ht="39" x14ac:dyDescent="0.35">
      <c r="A52" s="57"/>
      <c r="B52" s="58" t="s">
        <v>190</v>
      </c>
      <c r="C52" s="154" t="s">
        <v>265</v>
      </c>
      <c r="D52" s="155"/>
      <c r="E52" s="155"/>
      <c r="F52" s="155"/>
      <c r="G52" s="156"/>
      <c r="H52" s="155"/>
      <c r="I52" s="155"/>
      <c r="J52" s="157"/>
      <c r="BX52" s="59" t="s">
        <v>265</v>
      </c>
    </row>
    <row r="53" spans="1:76" ht="14.5" x14ac:dyDescent="0.35">
      <c r="A53" s="1" t="s">
        <v>266</v>
      </c>
      <c r="B53" s="2" t="s">
        <v>267</v>
      </c>
      <c r="C53" s="81" t="s">
        <v>268</v>
      </c>
      <c r="D53" s="75"/>
      <c r="E53" s="2" t="s">
        <v>203</v>
      </c>
      <c r="F53" s="14">
        <v>32.1</v>
      </c>
      <c r="G53" s="55">
        <v>0</v>
      </c>
      <c r="H53" s="14">
        <f>F53*AO53</f>
        <v>0</v>
      </c>
      <c r="I53" s="14">
        <f>F53*AP53</f>
        <v>0</v>
      </c>
      <c r="J53" s="56">
        <f>F53*G53</f>
        <v>0</v>
      </c>
      <c r="Z53" s="14">
        <f>IF(AQ53="5",BJ53,0)</f>
        <v>0</v>
      </c>
      <c r="AB53" s="14">
        <f>IF(AQ53="1",BH53,0)</f>
        <v>0</v>
      </c>
      <c r="AC53" s="14">
        <f>IF(AQ53="1",BI53,0)</f>
        <v>0</v>
      </c>
      <c r="AD53" s="14">
        <f>IF(AQ53="7",BH53,0)</f>
        <v>0</v>
      </c>
      <c r="AE53" s="14">
        <f>IF(AQ53="7",BI53,0)</f>
        <v>0</v>
      </c>
      <c r="AF53" s="14">
        <f>IF(AQ53="2",BH53,0)</f>
        <v>0</v>
      </c>
      <c r="AG53" s="14">
        <f>IF(AQ53="2",BI53,0)</f>
        <v>0</v>
      </c>
      <c r="AH53" s="14">
        <f>IF(AQ53="0",BJ53,0)</f>
        <v>0</v>
      </c>
      <c r="AI53" s="43" t="s">
        <v>19</v>
      </c>
      <c r="AJ53" s="14">
        <f>IF(AN53=0,J53,0)</f>
        <v>0</v>
      </c>
      <c r="AK53" s="14">
        <f>IF(AN53=12,J53,0)</f>
        <v>0</v>
      </c>
      <c r="AL53" s="14">
        <f>IF(AN53=21,J53,0)</f>
        <v>0</v>
      </c>
      <c r="AN53" s="14">
        <v>21</v>
      </c>
      <c r="AO53" s="14">
        <f>G53*0.338873639</f>
        <v>0</v>
      </c>
      <c r="AP53" s="14">
        <f>G53*(1-0.338873639)</f>
        <v>0</v>
      </c>
      <c r="AQ53" s="13" t="s">
        <v>205</v>
      </c>
      <c r="AV53" s="14">
        <f>AW53+AX53</f>
        <v>0</v>
      </c>
      <c r="AW53" s="14">
        <f>F53*AO53</f>
        <v>0</v>
      </c>
      <c r="AX53" s="14">
        <f>F53*AP53</f>
        <v>0</v>
      </c>
      <c r="AY53" s="13" t="s">
        <v>263</v>
      </c>
      <c r="AZ53" s="13" t="s">
        <v>264</v>
      </c>
      <c r="BA53" s="43" t="s">
        <v>182</v>
      </c>
      <c r="BC53" s="14">
        <f>AW53+AX53</f>
        <v>0</v>
      </c>
      <c r="BD53" s="14">
        <f>G53/(100-BE53)*100</f>
        <v>0</v>
      </c>
      <c r="BE53" s="14">
        <v>0</v>
      </c>
      <c r="BF53" s="14">
        <f>53</f>
        <v>53</v>
      </c>
      <c r="BH53" s="14">
        <f>F53*AO53</f>
        <v>0</v>
      </c>
      <c r="BI53" s="14">
        <f>F53*AP53</f>
        <v>0</v>
      </c>
      <c r="BJ53" s="14">
        <f>F53*G53</f>
        <v>0</v>
      </c>
      <c r="BK53" s="14"/>
      <c r="BL53" s="14">
        <v>711</v>
      </c>
      <c r="BW53" s="14">
        <v>21</v>
      </c>
      <c r="BX53" s="4" t="s">
        <v>268</v>
      </c>
    </row>
    <row r="54" spans="1:76" ht="14.5" x14ac:dyDescent="0.35">
      <c r="A54" s="57"/>
      <c r="B54" s="58" t="s">
        <v>190</v>
      </c>
      <c r="C54" s="154" t="s">
        <v>269</v>
      </c>
      <c r="D54" s="155"/>
      <c r="E54" s="155"/>
      <c r="F54" s="155"/>
      <c r="G54" s="156"/>
      <c r="H54" s="155"/>
      <c r="I54" s="155"/>
      <c r="J54" s="157"/>
      <c r="BX54" s="59" t="s">
        <v>269</v>
      </c>
    </row>
    <row r="55" spans="1:76" ht="14.5" x14ac:dyDescent="0.35">
      <c r="A55" s="60" t="s">
        <v>19</v>
      </c>
      <c r="B55" s="61" t="s">
        <v>37</v>
      </c>
      <c r="C55" s="165" t="s">
        <v>38</v>
      </c>
      <c r="D55" s="166"/>
      <c r="E55" s="62" t="s">
        <v>3</v>
      </c>
      <c r="F55" s="62" t="s">
        <v>3</v>
      </c>
      <c r="G55" s="69" t="s">
        <v>3</v>
      </c>
      <c r="H55" s="38">
        <f>SUM(H56:H68)</f>
        <v>0</v>
      </c>
      <c r="I55" s="38">
        <f>SUM(I56:I68)</f>
        <v>0</v>
      </c>
      <c r="J55" s="64">
        <f>SUM(J56:J68)</f>
        <v>0</v>
      </c>
      <c r="AI55" s="43" t="s">
        <v>19</v>
      </c>
      <c r="AS55" s="38">
        <f>SUM(AJ56:AJ68)</f>
        <v>0</v>
      </c>
      <c r="AT55" s="38">
        <f>SUM(AK56:AK68)</f>
        <v>0</v>
      </c>
      <c r="AU55" s="38">
        <f>SUM(AL56:AL68)</f>
        <v>0</v>
      </c>
    </row>
    <row r="56" spans="1:76" ht="14.5" x14ac:dyDescent="0.35">
      <c r="A56" s="1" t="s">
        <v>270</v>
      </c>
      <c r="B56" s="2" t="s">
        <v>271</v>
      </c>
      <c r="C56" s="81" t="s">
        <v>774</v>
      </c>
      <c r="D56" s="75"/>
      <c r="E56" s="2" t="s">
        <v>273</v>
      </c>
      <c r="F56" s="14">
        <v>1</v>
      </c>
      <c r="G56" s="55">
        <v>0</v>
      </c>
      <c r="H56" s="14">
        <f t="shared" ref="H56:H68" si="0">F56*AO56</f>
        <v>0</v>
      </c>
      <c r="I56" s="14">
        <f t="shared" ref="I56:I68" si="1">F56*AP56</f>
        <v>0</v>
      </c>
      <c r="J56" s="56">
        <f t="shared" ref="J56:J68" si="2">F56*G56</f>
        <v>0</v>
      </c>
      <c r="Z56" s="14">
        <f t="shared" ref="Z56:Z68" si="3">IF(AQ56="5",BJ56,0)</f>
        <v>0</v>
      </c>
      <c r="AB56" s="14">
        <f t="shared" ref="AB56:AB68" si="4">IF(AQ56="1",BH56,0)</f>
        <v>0</v>
      </c>
      <c r="AC56" s="14">
        <f t="shared" ref="AC56:AC68" si="5">IF(AQ56="1",BI56,0)</f>
        <v>0</v>
      </c>
      <c r="AD56" s="14">
        <f t="shared" ref="AD56:AD68" si="6">IF(AQ56="7",BH56,0)</f>
        <v>0</v>
      </c>
      <c r="AE56" s="14">
        <f t="shared" ref="AE56:AE68" si="7">IF(AQ56="7",BI56,0)</f>
        <v>0</v>
      </c>
      <c r="AF56" s="14">
        <f t="shared" ref="AF56:AF68" si="8">IF(AQ56="2",BH56,0)</f>
        <v>0</v>
      </c>
      <c r="AG56" s="14">
        <f t="shared" ref="AG56:AG68" si="9">IF(AQ56="2",BI56,0)</f>
        <v>0</v>
      </c>
      <c r="AH56" s="14">
        <f t="shared" ref="AH56:AH68" si="10">IF(AQ56="0",BJ56,0)</f>
        <v>0</v>
      </c>
      <c r="AI56" s="43" t="s">
        <v>19</v>
      </c>
      <c r="AJ56" s="14">
        <f t="shared" ref="AJ56:AJ68" si="11">IF(AN56=0,J56,0)</f>
        <v>0</v>
      </c>
      <c r="AK56" s="14">
        <f t="shared" ref="AK56:AK68" si="12">IF(AN56=12,J56,0)</f>
        <v>0</v>
      </c>
      <c r="AL56" s="14">
        <f t="shared" ref="AL56:AL68" si="13">IF(AN56=21,J56,0)</f>
        <v>0</v>
      </c>
      <c r="AN56" s="14">
        <v>21</v>
      </c>
      <c r="AO56" s="14">
        <f t="shared" ref="AO56:AO68" si="14">G56*0</f>
        <v>0</v>
      </c>
      <c r="AP56" s="14">
        <f t="shared" ref="AP56:AP68" si="15">G56*(1-0)</f>
        <v>0</v>
      </c>
      <c r="AQ56" s="13" t="s">
        <v>205</v>
      </c>
      <c r="AV56" s="14">
        <f t="shared" ref="AV56:AV68" si="16">AW56+AX56</f>
        <v>0</v>
      </c>
      <c r="AW56" s="14">
        <f t="shared" ref="AW56:AW68" si="17">F56*AO56</f>
        <v>0</v>
      </c>
      <c r="AX56" s="14">
        <f t="shared" ref="AX56:AX68" si="18">F56*AP56</f>
        <v>0</v>
      </c>
      <c r="AY56" s="13" t="s">
        <v>274</v>
      </c>
      <c r="AZ56" s="13" t="s">
        <v>275</v>
      </c>
      <c r="BA56" s="43" t="s">
        <v>182</v>
      </c>
      <c r="BC56" s="14">
        <f t="shared" ref="BC56:BC68" si="19">AW56+AX56</f>
        <v>0</v>
      </c>
      <c r="BD56" s="14">
        <f t="shared" ref="BD56:BD68" si="20">G56/(100-BE56)*100</f>
        <v>0</v>
      </c>
      <c r="BE56" s="14">
        <v>0</v>
      </c>
      <c r="BF56" s="14">
        <f>56</f>
        <v>56</v>
      </c>
      <c r="BH56" s="14">
        <f t="shared" ref="BH56:BH68" si="21">F56*AO56</f>
        <v>0</v>
      </c>
      <c r="BI56" s="14">
        <f t="shared" ref="BI56:BI68" si="22">F56*AP56</f>
        <v>0</v>
      </c>
      <c r="BJ56" s="14">
        <f t="shared" ref="BJ56:BJ68" si="23">F56*G56</f>
        <v>0</v>
      </c>
      <c r="BK56" s="14"/>
      <c r="BL56" s="14">
        <v>721</v>
      </c>
      <c r="BW56" s="14">
        <v>21</v>
      </c>
      <c r="BX56" s="4" t="s">
        <v>272</v>
      </c>
    </row>
    <row r="57" spans="1:76" ht="14.5" x14ac:dyDescent="0.35">
      <c r="A57" s="1" t="s">
        <v>276</v>
      </c>
      <c r="B57" s="2" t="s">
        <v>277</v>
      </c>
      <c r="C57" s="81" t="s">
        <v>775</v>
      </c>
      <c r="D57" s="75"/>
      <c r="E57" s="2" t="s">
        <v>273</v>
      </c>
      <c r="F57" s="14">
        <v>2</v>
      </c>
      <c r="G57" s="55">
        <v>0</v>
      </c>
      <c r="H57" s="14">
        <f t="shared" si="0"/>
        <v>0</v>
      </c>
      <c r="I57" s="14">
        <f t="shared" si="1"/>
        <v>0</v>
      </c>
      <c r="J57" s="56">
        <f t="shared" si="2"/>
        <v>0</v>
      </c>
      <c r="Z57" s="14">
        <f t="shared" si="3"/>
        <v>0</v>
      </c>
      <c r="AB57" s="14">
        <f t="shared" si="4"/>
        <v>0</v>
      </c>
      <c r="AC57" s="14">
        <f t="shared" si="5"/>
        <v>0</v>
      </c>
      <c r="AD57" s="14">
        <f t="shared" si="6"/>
        <v>0</v>
      </c>
      <c r="AE57" s="14">
        <f t="shared" si="7"/>
        <v>0</v>
      </c>
      <c r="AF57" s="14">
        <f t="shared" si="8"/>
        <v>0</v>
      </c>
      <c r="AG57" s="14">
        <f t="shared" si="9"/>
        <v>0</v>
      </c>
      <c r="AH57" s="14">
        <f t="shared" si="10"/>
        <v>0</v>
      </c>
      <c r="AI57" s="43" t="s">
        <v>19</v>
      </c>
      <c r="AJ57" s="14">
        <f t="shared" si="11"/>
        <v>0</v>
      </c>
      <c r="AK57" s="14">
        <f t="shared" si="12"/>
        <v>0</v>
      </c>
      <c r="AL57" s="14">
        <f t="shared" si="13"/>
        <v>0</v>
      </c>
      <c r="AN57" s="14">
        <v>21</v>
      </c>
      <c r="AO57" s="14">
        <f t="shared" si="14"/>
        <v>0</v>
      </c>
      <c r="AP57" s="14">
        <f t="shared" si="15"/>
        <v>0</v>
      </c>
      <c r="AQ57" s="13" t="s">
        <v>205</v>
      </c>
      <c r="AV57" s="14">
        <f t="shared" si="16"/>
        <v>0</v>
      </c>
      <c r="AW57" s="14">
        <f t="shared" si="17"/>
        <v>0</v>
      </c>
      <c r="AX57" s="14">
        <f t="shared" si="18"/>
        <v>0</v>
      </c>
      <c r="AY57" s="13" t="s">
        <v>274</v>
      </c>
      <c r="AZ57" s="13" t="s">
        <v>275</v>
      </c>
      <c r="BA57" s="43" t="s">
        <v>182</v>
      </c>
      <c r="BC57" s="14">
        <f t="shared" si="19"/>
        <v>0</v>
      </c>
      <c r="BD57" s="14">
        <f t="shared" si="20"/>
        <v>0</v>
      </c>
      <c r="BE57" s="14">
        <v>0</v>
      </c>
      <c r="BF57" s="14">
        <f>57</f>
        <v>57</v>
      </c>
      <c r="BH57" s="14">
        <f t="shared" si="21"/>
        <v>0</v>
      </c>
      <c r="BI57" s="14">
        <f t="shared" si="22"/>
        <v>0</v>
      </c>
      <c r="BJ57" s="14">
        <f t="shared" si="23"/>
        <v>0</v>
      </c>
      <c r="BK57" s="14"/>
      <c r="BL57" s="14">
        <v>721</v>
      </c>
      <c r="BW57" s="14">
        <v>21</v>
      </c>
      <c r="BX57" s="4" t="s">
        <v>278</v>
      </c>
    </row>
    <row r="58" spans="1:76" ht="14.5" x14ac:dyDescent="0.35">
      <c r="A58" s="1" t="s">
        <v>279</v>
      </c>
      <c r="B58" s="2" t="s">
        <v>280</v>
      </c>
      <c r="C58" s="81" t="s">
        <v>776</v>
      </c>
      <c r="D58" s="75"/>
      <c r="E58" s="2" t="s">
        <v>273</v>
      </c>
      <c r="F58" s="14">
        <v>2</v>
      </c>
      <c r="G58" s="55">
        <v>0</v>
      </c>
      <c r="H58" s="14">
        <f t="shared" si="0"/>
        <v>0</v>
      </c>
      <c r="I58" s="14">
        <f t="shared" si="1"/>
        <v>0</v>
      </c>
      <c r="J58" s="56">
        <f t="shared" si="2"/>
        <v>0</v>
      </c>
      <c r="Z58" s="14">
        <f t="shared" si="3"/>
        <v>0</v>
      </c>
      <c r="AB58" s="14">
        <f t="shared" si="4"/>
        <v>0</v>
      </c>
      <c r="AC58" s="14">
        <f t="shared" si="5"/>
        <v>0</v>
      </c>
      <c r="AD58" s="14">
        <f t="shared" si="6"/>
        <v>0</v>
      </c>
      <c r="AE58" s="14">
        <f t="shared" si="7"/>
        <v>0</v>
      </c>
      <c r="AF58" s="14">
        <f t="shared" si="8"/>
        <v>0</v>
      </c>
      <c r="AG58" s="14">
        <f t="shared" si="9"/>
        <v>0</v>
      </c>
      <c r="AH58" s="14">
        <f t="shared" si="10"/>
        <v>0</v>
      </c>
      <c r="AI58" s="43" t="s">
        <v>19</v>
      </c>
      <c r="AJ58" s="14">
        <f t="shared" si="11"/>
        <v>0</v>
      </c>
      <c r="AK58" s="14">
        <f t="shared" si="12"/>
        <v>0</v>
      </c>
      <c r="AL58" s="14">
        <f t="shared" si="13"/>
        <v>0</v>
      </c>
      <c r="AN58" s="14">
        <v>21</v>
      </c>
      <c r="AO58" s="14">
        <f t="shared" si="14"/>
        <v>0</v>
      </c>
      <c r="AP58" s="14">
        <f t="shared" si="15"/>
        <v>0</v>
      </c>
      <c r="AQ58" s="13" t="s">
        <v>205</v>
      </c>
      <c r="AV58" s="14">
        <f t="shared" si="16"/>
        <v>0</v>
      </c>
      <c r="AW58" s="14">
        <f t="shared" si="17"/>
        <v>0</v>
      </c>
      <c r="AX58" s="14">
        <f t="shared" si="18"/>
        <v>0</v>
      </c>
      <c r="AY58" s="13" t="s">
        <v>274</v>
      </c>
      <c r="AZ58" s="13" t="s">
        <v>275</v>
      </c>
      <c r="BA58" s="43" t="s">
        <v>182</v>
      </c>
      <c r="BC58" s="14">
        <f t="shared" si="19"/>
        <v>0</v>
      </c>
      <c r="BD58" s="14">
        <f t="shared" si="20"/>
        <v>0</v>
      </c>
      <c r="BE58" s="14">
        <v>0</v>
      </c>
      <c r="BF58" s="14">
        <f>58</f>
        <v>58</v>
      </c>
      <c r="BH58" s="14">
        <f t="shared" si="21"/>
        <v>0</v>
      </c>
      <c r="BI58" s="14">
        <f t="shared" si="22"/>
        <v>0</v>
      </c>
      <c r="BJ58" s="14">
        <f t="shared" si="23"/>
        <v>0</v>
      </c>
      <c r="BK58" s="14"/>
      <c r="BL58" s="14">
        <v>721</v>
      </c>
      <c r="BW58" s="14">
        <v>21</v>
      </c>
      <c r="BX58" s="4" t="s">
        <v>281</v>
      </c>
    </row>
    <row r="59" spans="1:76" ht="14.5" x14ac:dyDescent="0.35">
      <c r="A59" s="1" t="s">
        <v>282</v>
      </c>
      <c r="B59" s="2" t="s">
        <v>283</v>
      </c>
      <c r="C59" s="81" t="s">
        <v>284</v>
      </c>
      <c r="D59" s="75"/>
      <c r="E59" s="2" t="s">
        <v>232</v>
      </c>
      <c r="F59" s="14">
        <v>5</v>
      </c>
      <c r="G59" s="55">
        <v>0</v>
      </c>
      <c r="H59" s="14">
        <f t="shared" si="0"/>
        <v>0</v>
      </c>
      <c r="I59" s="14">
        <f t="shared" si="1"/>
        <v>0</v>
      </c>
      <c r="J59" s="56">
        <f t="shared" si="2"/>
        <v>0</v>
      </c>
      <c r="Z59" s="14">
        <f t="shared" si="3"/>
        <v>0</v>
      </c>
      <c r="AB59" s="14">
        <f t="shared" si="4"/>
        <v>0</v>
      </c>
      <c r="AC59" s="14">
        <f t="shared" si="5"/>
        <v>0</v>
      </c>
      <c r="AD59" s="14">
        <f t="shared" si="6"/>
        <v>0</v>
      </c>
      <c r="AE59" s="14">
        <f t="shared" si="7"/>
        <v>0</v>
      </c>
      <c r="AF59" s="14">
        <f t="shared" si="8"/>
        <v>0</v>
      </c>
      <c r="AG59" s="14">
        <f t="shared" si="9"/>
        <v>0</v>
      </c>
      <c r="AH59" s="14">
        <f t="shared" si="10"/>
        <v>0</v>
      </c>
      <c r="AI59" s="43" t="s">
        <v>19</v>
      </c>
      <c r="AJ59" s="14">
        <f t="shared" si="11"/>
        <v>0</v>
      </c>
      <c r="AK59" s="14">
        <f t="shared" si="12"/>
        <v>0</v>
      </c>
      <c r="AL59" s="14">
        <f t="shared" si="13"/>
        <v>0</v>
      </c>
      <c r="AN59" s="14">
        <v>21</v>
      </c>
      <c r="AO59" s="14">
        <f t="shared" si="14"/>
        <v>0</v>
      </c>
      <c r="AP59" s="14">
        <f t="shared" si="15"/>
        <v>0</v>
      </c>
      <c r="AQ59" s="13" t="s">
        <v>205</v>
      </c>
      <c r="AV59" s="14">
        <f t="shared" si="16"/>
        <v>0</v>
      </c>
      <c r="AW59" s="14">
        <f t="shared" si="17"/>
        <v>0</v>
      </c>
      <c r="AX59" s="14">
        <f t="shared" si="18"/>
        <v>0</v>
      </c>
      <c r="AY59" s="13" t="s">
        <v>274</v>
      </c>
      <c r="AZ59" s="13" t="s">
        <v>275</v>
      </c>
      <c r="BA59" s="43" t="s">
        <v>182</v>
      </c>
      <c r="BC59" s="14">
        <f t="shared" si="19"/>
        <v>0</v>
      </c>
      <c r="BD59" s="14">
        <f t="shared" si="20"/>
        <v>0</v>
      </c>
      <c r="BE59" s="14">
        <v>0</v>
      </c>
      <c r="BF59" s="14">
        <f>59</f>
        <v>59</v>
      </c>
      <c r="BH59" s="14">
        <f t="shared" si="21"/>
        <v>0</v>
      </c>
      <c r="BI59" s="14">
        <f t="shared" si="22"/>
        <v>0</v>
      </c>
      <c r="BJ59" s="14">
        <f t="shared" si="23"/>
        <v>0</v>
      </c>
      <c r="BK59" s="14"/>
      <c r="BL59" s="14">
        <v>721</v>
      </c>
      <c r="BW59" s="14">
        <v>21</v>
      </c>
      <c r="BX59" s="4" t="s">
        <v>284</v>
      </c>
    </row>
    <row r="60" spans="1:76" ht="14.5" x14ac:dyDescent="0.35">
      <c r="A60" s="1" t="s">
        <v>285</v>
      </c>
      <c r="B60" s="2" t="s">
        <v>286</v>
      </c>
      <c r="C60" s="81" t="s">
        <v>287</v>
      </c>
      <c r="D60" s="75"/>
      <c r="E60" s="2" t="s">
        <v>232</v>
      </c>
      <c r="F60" s="14">
        <v>5</v>
      </c>
      <c r="G60" s="55">
        <v>0</v>
      </c>
      <c r="H60" s="14">
        <f t="shared" si="0"/>
        <v>0</v>
      </c>
      <c r="I60" s="14">
        <f t="shared" si="1"/>
        <v>0</v>
      </c>
      <c r="J60" s="56">
        <f t="shared" si="2"/>
        <v>0</v>
      </c>
      <c r="Z60" s="14">
        <f t="shared" si="3"/>
        <v>0</v>
      </c>
      <c r="AB60" s="14">
        <f t="shared" si="4"/>
        <v>0</v>
      </c>
      <c r="AC60" s="14">
        <f t="shared" si="5"/>
        <v>0</v>
      </c>
      <c r="AD60" s="14">
        <f t="shared" si="6"/>
        <v>0</v>
      </c>
      <c r="AE60" s="14">
        <f t="shared" si="7"/>
        <v>0</v>
      </c>
      <c r="AF60" s="14">
        <f t="shared" si="8"/>
        <v>0</v>
      </c>
      <c r="AG60" s="14">
        <f t="shared" si="9"/>
        <v>0</v>
      </c>
      <c r="AH60" s="14">
        <f t="shared" si="10"/>
        <v>0</v>
      </c>
      <c r="AI60" s="43" t="s">
        <v>19</v>
      </c>
      <c r="AJ60" s="14">
        <f t="shared" si="11"/>
        <v>0</v>
      </c>
      <c r="AK60" s="14">
        <f t="shared" si="12"/>
        <v>0</v>
      </c>
      <c r="AL60" s="14">
        <f t="shared" si="13"/>
        <v>0</v>
      </c>
      <c r="AN60" s="14">
        <v>21</v>
      </c>
      <c r="AO60" s="14">
        <f t="shared" si="14"/>
        <v>0</v>
      </c>
      <c r="AP60" s="14">
        <f t="shared" si="15"/>
        <v>0</v>
      </c>
      <c r="AQ60" s="13" t="s">
        <v>205</v>
      </c>
      <c r="AV60" s="14">
        <f t="shared" si="16"/>
        <v>0</v>
      </c>
      <c r="AW60" s="14">
        <f t="shared" si="17"/>
        <v>0</v>
      </c>
      <c r="AX60" s="14">
        <f t="shared" si="18"/>
        <v>0</v>
      </c>
      <c r="AY60" s="13" t="s">
        <v>274</v>
      </c>
      <c r="AZ60" s="13" t="s">
        <v>275</v>
      </c>
      <c r="BA60" s="43" t="s">
        <v>182</v>
      </c>
      <c r="BC60" s="14">
        <f t="shared" si="19"/>
        <v>0</v>
      </c>
      <c r="BD60" s="14">
        <f t="shared" si="20"/>
        <v>0</v>
      </c>
      <c r="BE60" s="14">
        <v>0</v>
      </c>
      <c r="BF60" s="14">
        <f>60</f>
        <v>60</v>
      </c>
      <c r="BH60" s="14">
        <f t="shared" si="21"/>
        <v>0</v>
      </c>
      <c r="BI60" s="14">
        <f t="shared" si="22"/>
        <v>0</v>
      </c>
      <c r="BJ60" s="14">
        <f t="shared" si="23"/>
        <v>0</v>
      </c>
      <c r="BK60" s="14"/>
      <c r="BL60" s="14">
        <v>721</v>
      </c>
      <c r="BW60" s="14">
        <v>21</v>
      </c>
      <c r="BX60" s="4" t="s">
        <v>287</v>
      </c>
    </row>
    <row r="61" spans="1:76" ht="14.5" x14ac:dyDescent="0.35">
      <c r="A61" s="1" t="s">
        <v>288</v>
      </c>
      <c r="B61" s="2" t="s">
        <v>289</v>
      </c>
      <c r="C61" s="81" t="s">
        <v>290</v>
      </c>
      <c r="D61" s="75"/>
      <c r="E61" s="2" t="s">
        <v>232</v>
      </c>
      <c r="F61" s="14">
        <v>5</v>
      </c>
      <c r="G61" s="55">
        <v>0</v>
      </c>
      <c r="H61" s="14">
        <f t="shared" si="0"/>
        <v>0</v>
      </c>
      <c r="I61" s="14">
        <f t="shared" si="1"/>
        <v>0</v>
      </c>
      <c r="J61" s="56">
        <f t="shared" si="2"/>
        <v>0</v>
      </c>
      <c r="Z61" s="14">
        <f t="shared" si="3"/>
        <v>0</v>
      </c>
      <c r="AB61" s="14">
        <f t="shared" si="4"/>
        <v>0</v>
      </c>
      <c r="AC61" s="14">
        <f t="shared" si="5"/>
        <v>0</v>
      </c>
      <c r="AD61" s="14">
        <f t="shared" si="6"/>
        <v>0</v>
      </c>
      <c r="AE61" s="14">
        <f t="shared" si="7"/>
        <v>0</v>
      </c>
      <c r="AF61" s="14">
        <f t="shared" si="8"/>
        <v>0</v>
      </c>
      <c r="AG61" s="14">
        <f t="shared" si="9"/>
        <v>0</v>
      </c>
      <c r="AH61" s="14">
        <f t="shared" si="10"/>
        <v>0</v>
      </c>
      <c r="AI61" s="43" t="s">
        <v>19</v>
      </c>
      <c r="AJ61" s="14">
        <f t="shared" si="11"/>
        <v>0</v>
      </c>
      <c r="AK61" s="14">
        <f t="shared" si="12"/>
        <v>0</v>
      </c>
      <c r="AL61" s="14">
        <f t="shared" si="13"/>
        <v>0</v>
      </c>
      <c r="AN61" s="14">
        <v>21</v>
      </c>
      <c r="AO61" s="14">
        <f t="shared" si="14"/>
        <v>0</v>
      </c>
      <c r="AP61" s="14">
        <f t="shared" si="15"/>
        <v>0</v>
      </c>
      <c r="AQ61" s="13" t="s">
        <v>205</v>
      </c>
      <c r="AV61" s="14">
        <f t="shared" si="16"/>
        <v>0</v>
      </c>
      <c r="AW61" s="14">
        <f t="shared" si="17"/>
        <v>0</v>
      </c>
      <c r="AX61" s="14">
        <f t="shared" si="18"/>
        <v>0</v>
      </c>
      <c r="AY61" s="13" t="s">
        <v>274</v>
      </c>
      <c r="AZ61" s="13" t="s">
        <v>275</v>
      </c>
      <c r="BA61" s="43" t="s">
        <v>182</v>
      </c>
      <c r="BC61" s="14">
        <f t="shared" si="19"/>
        <v>0</v>
      </c>
      <c r="BD61" s="14">
        <f t="shared" si="20"/>
        <v>0</v>
      </c>
      <c r="BE61" s="14">
        <v>0</v>
      </c>
      <c r="BF61" s="14">
        <f>61</f>
        <v>61</v>
      </c>
      <c r="BH61" s="14">
        <f t="shared" si="21"/>
        <v>0</v>
      </c>
      <c r="BI61" s="14">
        <f t="shared" si="22"/>
        <v>0</v>
      </c>
      <c r="BJ61" s="14">
        <f t="shared" si="23"/>
        <v>0</v>
      </c>
      <c r="BK61" s="14"/>
      <c r="BL61" s="14">
        <v>721</v>
      </c>
      <c r="BW61" s="14">
        <v>21</v>
      </c>
      <c r="BX61" s="4" t="s">
        <v>290</v>
      </c>
    </row>
    <row r="62" spans="1:76" ht="14.5" x14ac:dyDescent="0.35">
      <c r="A62" s="1" t="s">
        <v>291</v>
      </c>
      <c r="B62" s="2" t="s">
        <v>292</v>
      </c>
      <c r="C62" s="81" t="s">
        <v>293</v>
      </c>
      <c r="D62" s="75"/>
      <c r="E62" s="2" t="s">
        <v>232</v>
      </c>
      <c r="F62" s="14">
        <v>16</v>
      </c>
      <c r="G62" s="55">
        <v>0</v>
      </c>
      <c r="H62" s="14">
        <f t="shared" si="0"/>
        <v>0</v>
      </c>
      <c r="I62" s="14">
        <f t="shared" si="1"/>
        <v>0</v>
      </c>
      <c r="J62" s="56">
        <f t="shared" si="2"/>
        <v>0</v>
      </c>
      <c r="Z62" s="14">
        <f t="shared" si="3"/>
        <v>0</v>
      </c>
      <c r="AB62" s="14">
        <f t="shared" si="4"/>
        <v>0</v>
      </c>
      <c r="AC62" s="14">
        <f t="shared" si="5"/>
        <v>0</v>
      </c>
      <c r="AD62" s="14">
        <f t="shared" si="6"/>
        <v>0</v>
      </c>
      <c r="AE62" s="14">
        <f t="shared" si="7"/>
        <v>0</v>
      </c>
      <c r="AF62" s="14">
        <f t="shared" si="8"/>
        <v>0</v>
      </c>
      <c r="AG62" s="14">
        <f t="shared" si="9"/>
        <v>0</v>
      </c>
      <c r="AH62" s="14">
        <f t="shared" si="10"/>
        <v>0</v>
      </c>
      <c r="AI62" s="43" t="s">
        <v>19</v>
      </c>
      <c r="AJ62" s="14">
        <f t="shared" si="11"/>
        <v>0</v>
      </c>
      <c r="AK62" s="14">
        <f t="shared" si="12"/>
        <v>0</v>
      </c>
      <c r="AL62" s="14">
        <f t="shared" si="13"/>
        <v>0</v>
      </c>
      <c r="AN62" s="14">
        <v>21</v>
      </c>
      <c r="AO62" s="14">
        <f t="shared" si="14"/>
        <v>0</v>
      </c>
      <c r="AP62" s="14">
        <f t="shared" si="15"/>
        <v>0</v>
      </c>
      <c r="AQ62" s="13" t="s">
        <v>205</v>
      </c>
      <c r="AV62" s="14">
        <f t="shared" si="16"/>
        <v>0</v>
      </c>
      <c r="AW62" s="14">
        <f t="shared" si="17"/>
        <v>0</v>
      </c>
      <c r="AX62" s="14">
        <f t="shared" si="18"/>
        <v>0</v>
      </c>
      <c r="AY62" s="13" t="s">
        <v>274</v>
      </c>
      <c r="AZ62" s="13" t="s">
        <v>275</v>
      </c>
      <c r="BA62" s="43" t="s">
        <v>182</v>
      </c>
      <c r="BC62" s="14">
        <f t="shared" si="19"/>
        <v>0</v>
      </c>
      <c r="BD62" s="14">
        <f t="shared" si="20"/>
        <v>0</v>
      </c>
      <c r="BE62" s="14">
        <v>0</v>
      </c>
      <c r="BF62" s="14">
        <f>62</f>
        <v>62</v>
      </c>
      <c r="BH62" s="14">
        <f t="shared" si="21"/>
        <v>0</v>
      </c>
      <c r="BI62" s="14">
        <f t="shared" si="22"/>
        <v>0</v>
      </c>
      <c r="BJ62" s="14">
        <f t="shared" si="23"/>
        <v>0</v>
      </c>
      <c r="BK62" s="14"/>
      <c r="BL62" s="14">
        <v>721</v>
      </c>
      <c r="BW62" s="14">
        <v>21</v>
      </c>
      <c r="BX62" s="4" t="s">
        <v>293</v>
      </c>
    </row>
    <row r="63" spans="1:76" ht="14.5" x14ac:dyDescent="0.35">
      <c r="A63" s="1" t="s">
        <v>294</v>
      </c>
      <c r="B63" s="2" t="s">
        <v>295</v>
      </c>
      <c r="C63" s="81" t="s">
        <v>296</v>
      </c>
      <c r="D63" s="75"/>
      <c r="E63" s="2" t="s">
        <v>273</v>
      </c>
      <c r="F63" s="14">
        <v>2</v>
      </c>
      <c r="G63" s="55">
        <v>0</v>
      </c>
      <c r="H63" s="14">
        <f t="shared" si="0"/>
        <v>0</v>
      </c>
      <c r="I63" s="14">
        <f t="shared" si="1"/>
        <v>0</v>
      </c>
      <c r="J63" s="56">
        <f t="shared" si="2"/>
        <v>0</v>
      </c>
      <c r="Z63" s="14">
        <f t="shared" si="3"/>
        <v>0</v>
      </c>
      <c r="AB63" s="14">
        <f t="shared" si="4"/>
        <v>0</v>
      </c>
      <c r="AC63" s="14">
        <f t="shared" si="5"/>
        <v>0</v>
      </c>
      <c r="AD63" s="14">
        <f t="shared" si="6"/>
        <v>0</v>
      </c>
      <c r="AE63" s="14">
        <f t="shared" si="7"/>
        <v>0</v>
      </c>
      <c r="AF63" s="14">
        <f t="shared" si="8"/>
        <v>0</v>
      </c>
      <c r="AG63" s="14">
        <f t="shared" si="9"/>
        <v>0</v>
      </c>
      <c r="AH63" s="14">
        <f t="shared" si="10"/>
        <v>0</v>
      </c>
      <c r="AI63" s="43" t="s">
        <v>19</v>
      </c>
      <c r="AJ63" s="14">
        <f t="shared" si="11"/>
        <v>0</v>
      </c>
      <c r="AK63" s="14">
        <f t="shared" si="12"/>
        <v>0</v>
      </c>
      <c r="AL63" s="14">
        <f t="shared" si="13"/>
        <v>0</v>
      </c>
      <c r="AN63" s="14">
        <v>21</v>
      </c>
      <c r="AO63" s="14">
        <f t="shared" si="14"/>
        <v>0</v>
      </c>
      <c r="AP63" s="14">
        <f t="shared" si="15"/>
        <v>0</v>
      </c>
      <c r="AQ63" s="13" t="s">
        <v>205</v>
      </c>
      <c r="AV63" s="14">
        <f t="shared" si="16"/>
        <v>0</v>
      </c>
      <c r="AW63" s="14">
        <f t="shared" si="17"/>
        <v>0</v>
      </c>
      <c r="AX63" s="14">
        <f t="shared" si="18"/>
        <v>0</v>
      </c>
      <c r="AY63" s="13" t="s">
        <v>274</v>
      </c>
      <c r="AZ63" s="13" t="s">
        <v>275</v>
      </c>
      <c r="BA63" s="43" t="s">
        <v>182</v>
      </c>
      <c r="BC63" s="14">
        <f t="shared" si="19"/>
        <v>0</v>
      </c>
      <c r="BD63" s="14">
        <f t="shared" si="20"/>
        <v>0</v>
      </c>
      <c r="BE63" s="14">
        <v>0</v>
      </c>
      <c r="BF63" s="14">
        <f>63</f>
        <v>63</v>
      </c>
      <c r="BH63" s="14">
        <f t="shared" si="21"/>
        <v>0</v>
      </c>
      <c r="BI63" s="14">
        <f t="shared" si="22"/>
        <v>0</v>
      </c>
      <c r="BJ63" s="14">
        <f t="shared" si="23"/>
        <v>0</v>
      </c>
      <c r="BK63" s="14"/>
      <c r="BL63" s="14">
        <v>721</v>
      </c>
      <c r="BW63" s="14">
        <v>21</v>
      </c>
      <c r="BX63" s="4" t="s">
        <v>296</v>
      </c>
    </row>
    <row r="64" spans="1:76" ht="14.5" x14ac:dyDescent="0.35">
      <c r="A64" s="1" t="s">
        <v>297</v>
      </c>
      <c r="B64" s="2" t="s">
        <v>298</v>
      </c>
      <c r="C64" s="81" t="s">
        <v>299</v>
      </c>
      <c r="D64" s="75"/>
      <c r="E64" s="2" t="s">
        <v>300</v>
      </c>
      <c r="F64" s="14">
        <v>1</v>
      </c>
      <c r="G64" s="55">
        <v>0</v>
      </c>
      <c r="H64" s="14">
        <f t="shared" si="0"/>
        <v>0</v>
      </c>
      <c r="I64" s="14">
        <f t="shared" si="1"/>
        <v>0</v>
      </c>
      <c r="J64" s="56">
        <f t="shared" si="2"/>
        <v>0</v>
      </c>
      <c r="Z64" s="14">
        <f t="shared" si="3"/>
        <v>0</v>
      </c>
      <c r="AB64" s="14">
        <f t="shared" si="4"/>
        <v>0</v>
      </c>
      <c r="AC64" s="14">
        <f t="shared" si="5"/>
        <v>0</v>
      </c>
      <c r="AD64" s="14">
        <f t="shared" si="6"/>
        <v>0</v>
      </c>
      <c r="AE64" s="14">
        <f t="shared" si="7"/>
        <v>0</v>
      </c>
      <c r="AF64" s="14">
        <f t="shared" si="8"/>
        <v>0</v>
      </c>
      <c r="AG64" s="14">
        <f t="shared" si="9"/>
        <v>0</v>
      </c>
      <c r="AH64" s="14">
        <f t="shared" si="10"/>
        <v>0</v>
      </c>
      <c r="AI64" s="43" t="s">
        <v>19</v>
      </c>
      <c r="AJ64" s="14">
        <f t="shared" si="11"/>
        <v>0</v>
      </c>
      <c r="AK64" s="14">
        <f t="shared" si="12"/>
        <v>0</v>
      </c>
      <c r="AL64" s="14">
        <f t="shared" si="13"/>
        <v>0</v>
      </c>
      <c r="AN64" s="14">
        <v>21</v>
      </c>
      <c r="AO64" s="14">
        <f t="shared" si="14"/>
        <v>0</v>
      </c>
      <c r="AP64" s="14">
        <f t="shared" si="15"/>
        <v>0</v>
      </c>
      <c r="AQ64" s="13" t="s">
        <v>205</v>
      </c>
      <c r="AV64" s="14">
        <f t="shared" si="16"/>
        <v>0</v>
      </c>
      <c r="AW64" s="14">
        <f t="shared" si="17"/>
        <v>0</v>
      </c>
      <c r="AX64" s="14">
        <f t="shared" si="18"/>
        <v>0</v>
      </c>
      <c r="AY64" s="13" t="s">
        <v>274</v>
      </c>
      <c r="AZ64" s="13" t="s">
        <v>275</v>
      </c>
      <c r="BA64" s="43" t="s">
        <v>182</v>
      </c>
      <c r="BC64" s="14">
        <f t="shared" si="19"/>
        <v>0</v>
      </c>
      <c r="BD64" s="14">
        <f t="shared" si="20"/>
        <v>0</v>
      </c>
      <c r="BE64" s="14">
        <v>0</v>
      </c>
      <c r="BF64" s="14">
        <f>64</f>
        <v>64</v>
      </c>
      <c r="BH64" s="14">
        <f t="shared" si="21"/>
        <v>0</v>
      </c>
      <c r="BI64" s="14">
        <f t="shared" si="22"/>
        <v>0</v>
      </c>
      <c r="BJ64" s="14">
        <f t="shared" si="23"/>
        <v>0</v>
      </c>
      <c r="BK64" s="14"/>
      <c r="BL64" s="14">
        <v>721</v>
      </c>
      <c r="BW64" s="14">
        <v>21</v>
      </c>
      <c r="BX64" s="4" t="s">
        <v>299</v>
      </c>
    </row>
    <row r="65" spans="1:76" ht="14.5" x14ac:dyDescent="0.35">
      <c r="A65" s="1" t="s">
        <v>301</v>
      </c>
      <c r="B65" s="2" t="s">
        <v>302</v>
      </c>
      <c r="C65" s="81" t="s">
        <v>303</v>
      </c>
      <c r="D65" s="75"/>
      <c r="E65" s="2" t="s">
        <v>232</v>
      </c>
      <c r="F65" s="14">
        <v>31</v>
      </c>
      <c r="G65" s="55">
        <v>0</v>
      </c>
      <c r="H65" s="14">
        <f t="shared" si="0"/>
        <v>0</v>
      </c>
      <c r="I65" s="14">
        <f t="shared" si="1"/>
        <v>0</v>
      </c>
      <c r="J65" s="56">
        <f t="shared" si="2"/>
        <v>0</v>
      </c>
      <c r="Z65" s="14">
        <f t="shared" si="3"/>
        <v>0</v>
      </c>
      <c r="AB65" s="14">
        <f t="shared" si="4"/>
        <v>0</v>
      </c>
      <c r="AC65" s="14">
        <f t="shared" si="5"/>
        <v>0</v>
      </c>
      <c r="AD65" s="14">
        <f t="shared" si="6"/>
        <v>0</v>
      </c>
      <c r="AE65" s="14">
        <f t="shared" si="7"/>
        <v>0</v>
      </c>
      <c r="AF65" s="14">
        <f t="shared" si="8"/>
        <v>0</v>
      </c>
      <c r="AG65" s="14">
        <f t="shared" si="9"/>
        <v>0</v>
      </c>
      <c r="AH65" s="14">
        <f t="shared" si="10"/>
        <v>0</v>
      </c>
      <c r="AI65" s="43" t="s">
        <v>19</v>
      </c>
      <c r="AJ65" s="14">
        <f t="shared" si="11"/>
        <v>0</v>
      </c>
      <c r="AK65" s="14">
        <f t="shared" si="12"/>
        <v>0</v>
      </c>
      <c r="AL65" s="14">
        <f t="shared" si="13"/>
        <v>0</v>
      </c>
      <c r="AN65" s="14">
        <v>21</v>
      </c>
      <c r="AO65" s="14">
        <f t="shared" si="14"/>
        <v>0</v>
      </c>
      <c r="AP65" s="14">
        <f t="shared" si="15"/>
        <v>0</v>
      </c>
      <c r="AQ65" s="13" t="s">
        <v>205</v>
      </c>
      <c r="AV65" s="14">
        <f t="shared" si="16"/>
        <v>0</v>
      </c>
      <c r="AW65" s="14">
        <f t="shared" si="17"/>
        <v>0</v>
      </c>
      <c r="AX65" s="14">
        <f t="shared" si="18"/>
        <v>0</v>
      </c>
      <c r="AY65" s="13" t="s">
        <v>274</v>
      </c>
      <c r="AZ65" s="13" t="s">
        <v>275</v>
      </c>
      <c r="BA65" s="43" t="s">
        <v>182</v>
      </c>
      <c r="BC65" s="14">
        <f t="shared" si="19"/>
        <v>0</v>
      </c>
      <c r="BD65" s="14">
        <f t="shared" si="20"/>
        <v>0</v>
      </c>
      <c r="BE65" s="14">
        <v>0</v>
      </c>
      <c r="BF65" s="14">
        <f>65</f>
        <v>65</v>
      </c>
      <c r="BH65" s="14">
        <f t="shared" si="21"/>
        <v>0</v>
      </c>
      <c r="BI65" s="14">
        <f t="shared" si="22"/>
        <v>0</v>
      </c>
      <c r="BJ65" s="14">
        <f t="shared" si="23"/>
        <v>0</v>
      </c>
      <c r="BK65" s="14"/>
      <c r="BL65" s="14">
        <v>721</v>
      </c>
      <c r="BW65" s="14">
        <v>21</v>
      </c>
      <c r="BX65" s="4" t="s">
        <v>303</v>
      </c>
    </row>
    <row r="66" spans="1:76" ht="14.5" x14ac:dyDescent="0.35">
      <c r="A66" s="1" t="s">
        <v>20</v>
      </c>
      <c r="B66" s="2" t="s">
        <v>304</v>
      </c>
      <c r="C66" s="81" t="s">
        <v>305</v>
      </c>
      <c r="D66" s="75"/>
      <c r="E66" s="2" t="s">
        <v>273</v>
      </c>
      <c r="F66" s="14">
        <v>10</v>
      </c>
      <c r="G66" s="55">
        <v>0</v>
      </c>
      <c r="H66" s="14">
        <f t="shared" si="0"/>
        <v>0</v>
      </c>
      <c r="I66" s="14">
        <f t="shared" si="1"/>
        <v>0</v>
      </c>
      <c r="J66" s="56">
        <f t="shared" si="2"/>
        <v>0</v>
      </c>
      <c r="Z66" s="14">
        <f t="shared" si="3"/>
        <v>0</v>
      </c>
      <c r="AB66" s="14">
        <f t="shared" si="4"/>
        <v>0</v>
      </c>
      <c r="AC66" s="14">
        <f t="shared" si="5"/>
        <v>0</v>
      </c>
      <c r="AD66" s="14">
        <f t="shared" si="6"/>
        <v>0</v>
      </c>
      <c r="AE66" s="14">
        <f t="shared" si="7"/>
        <v>0</v>
      </c>
      <c r="AF66" s="14">
        <f t="shared" si="8"/>
        <v>0</v>
      </c>
      <c r="AG66" s="14">
        <f t="shared" si="9"/>
        <v>0</v>
      </c>
      <c r="AH66" s="14">
        <f t="shared" si="10"/>
        <v>0</v>
      </c>
      <c r="AI66" s="43" t="s">
        <v>19</v>
      </c>
      <c r="AJ66" s="14">
        <f t="shared" si="11"/>
        <v>0</v>
      </c>
      <c r="AK66" s="14">
        <f t="shared" si="12"/>
        <v>0</v>
      </c>
      <c r="AL66" s="14">
        <f t="shared" si="13"/>
        <v>0</v>
      </c>
      <c r="AN66" s="14">
        <v>21</v>
      </c>
      <c r="AO66" s="14">
        <f t="shared" si="14"/>
        <v>0</v>
      </c>
      <c r="AP66" s="14">
        <f t="shared" si="15"/>
        <v>0</v>
      </c>
      <c r="AQ66" s="13" t="s">
        <v>205</v>
      </c>
      <c r="AV66" s="14">
        <f t="shared" si="16"/>
        <v>0</v>
      </c>
      <c r="AW66" s="14">
        <f t="shared" si="17"/>
        <v>0</v>
      </c>
      <c r="AX66" s="14">
        <f t="shared" si="18"/>
        <v>0</v>
      </c>
      <c r="AY66" s="13" t="s">
        <v>274</v>
      </c>
      <c r="AZ66" s="13" t="s">
        <v>275</v>
      </c>
      <c r="BA66" s="43" t="s">
        <v>182</v>
      </c>
      <c r="BC66" s="14">
        <f t="shared" si="19"/>
        <v>0</v>
      </c>
      <c r="BD66" s="14">
        <f t="shared" si="20"/>
        <v>0</v>
      </c>
      <c r="BE66" s="14">
        <v>0</v>
      </c>
      <c r="BF66" s="14">
        <f>66</f>
        <v>66</v>
      </c>
      <c r="BH66" s="14">
        <f t="shared" si="21"/>
        <v>0</v>
      </c>
      <c r="BI66" s="14">
        <f t="shared" si="22"/>
        <v>0</v>
      </c>
      <c r="BJ66" s="14">
        <f t="shared" si="23"/>
        <v>0</v>
      </c>
      <c r="BK66" s="14"/>
      <c r="BL66" s="14">
        <v>721</v>
      </c>
      <c r="BW66" s="14">
        <v>21</v>
      </c>
      <c r="BX66" s="4" t="s">
        <v>305</v>
      </c>
    </row>
    <row r="67" spans="1:76" ht="14.5" x14ac:dyDescent="0.35">
      <c r="A67" s="1" t="s">
        <v>306</v>
      </c>
      <c r="B67" s="2" t="s">
        <v>307</v>
      </c>
      <c r="C67" s="81" t="s">
        <v>308</v>
      </c>
      <c r="D67" s="75"/>
      <c r="E67" s="2" t="s">
        <v>273</v>
      </c>
      <c r="F67" s="14">
        <v>10</v>
      </c>
      <c r="G67" s="55">
        <v>0</v>
      </c>
      <c r="H67" s="14">
        <f t="shared" si="0"/>
        <v>0</v>
      </c>
      <c r="I67" s="14">
        <f t="shared" si="1"/>
        <v>0</v>
      </c>
      <c r="J67" s="56">
        <f t="shared" si="2"/>
        <v>0</v>
      </c>
      <c r="Z67" s="14">
        <f t="shared" si="3"/>
        <v>0</v>
      </c>
      <c r="AB67" s="14">
        <f t="shared" si="4"/>
        <v>0</v>
      </c>
      <c r="AC67" s="14">
        <f t="shared" si="5"/>
        <v>0</v>
      </c>
      <c r="AD67" s="14">
        <f t="shared" si="6"/>
        <v>0</v>
      </c>
      <c r="AE67" s="14">
        <f t="shared" si="7"/>
        <v>0</v>
      </c>
      <c r="AF67" s="14">
        <f t="shared" si="8"/>
        <v>0</v>
      </c>
      <c r="AG67" s="14">
        <f t="shared" si="9"/>
        <v>0</v>
      </c>
      <c r="AH67" s="14">
        <f t="shared" si="10"/>
        <v>0</v>
      </c>
      <c r="AI67" s="43" t="s">
        <v>19</v>
      </c>
      <c r="AJ67" s="14">
        <f t="shared" si="11"/>
        <v>0</v>
      </c>
      <c r="AK67" s="14">
        <f t="shared" si="12"/>
        <v>0</v>
      </c>
      <c r="AL67" s="14">
        <f t="shared" si="13"/>
        <v>0</v>
      </c>
      <c r="AN67" s="14">
        <v>21</v>
      </c>
      <c r="AO67" s="14">
        <f t="shared" si="14"/>
        <v>0</v>
      </c>
      <c r="AP67" s="14">
        <f t="shared" si="15"/>
        <v>0</v>
      </c>
      <c r="AQ67" s="13" t="s">
        <v>205</v>
      </c>
      <c r="AV67" s="14">
        <f t="shared" si="16"/>
        <v>0</v>
      </c>
      <c r="AW67" s="14">
        <f t="shared" si="17"/>
        <v>0</v>
      </c>
      <c r="AX67" s="14">
        <f t="shared" si="18"/>
        <v>0</v>
      </c>
      <c r="AY67" s="13" t="s">
        <v>274</v>
      </c>
      <c r="AZ67" s="13" t="s">
        <v>275</v>
      </c>
      <c r="BA67" s="43" t="s">
        <v>182</v>
      </c>
      <c r="BC67" s="14">
        <f t="shared" si="19"/>
        <v>0</v>
      </c>
      <c r="BD67" s="14">
        <f t="shared" si="20"/>
        <v>0</v>
      </c>
      <c r="BE67" s="14">
        <v>0</v>
      </c>
      <c r="BF67" s="14">
        <f>67</f>
        <v>67</v>
      </c>
      <c r="BH67" s="14">
        <f t="shared" si="21"/>
        <v>0</v>
      </c>
      <c r="BI67" s="14">
        <f t="shared" si="22"/>
        <v>0</v>
      </c>
      <c r="BJ67" s="14">
        <f t="shared" si="23"/>
        <v>0</v>
      </c>
      <c r="BK67" s="14"/>
      <c r="BL67" s="14">
        <v>721</v>
      </c>
      <c r="BW67" s="14">
        <v>21</v>
      </c>
      <c r="BX67" s="4" t="s">
        <v>308</v>
      </c>
    </row>
    <row r="68" spans="1:76" ht="14.5" x14ac:dyDescent="0.35">
      <c r="A68" s="1" t="s">
        <v>309</v>
      </c>
      <c r="B68" s="2" t="s">
        <v>310</v>
      </c>
      <c r="C68" s="81" t="s">
        <v>311</v>
      </c>
      <c r="D68" s="75"/>
      <c r="E68" s="2" t="s">
        <v>300</v>
      </c>
      <c r="F68" s="14">
        <v>1</v>
      </c>
      <c r="G68" s="55">
        <v>0</v>
      </c>
      <c r="H68" s="14">
        <f t="shared" si="0"/>
        <v>0</v>
      </c>
      <c r="I68" s="14">
        <f t="shared" si="1"/>
        <v>0</v>
      </c>
      <c r="J68" s="56">
        <f t="shared" si="2"/>
        <v>0</v>
      </c>
      <c r="Z68" s="14">
        <f t="shared" si="3"/>
        <v>0</v>
      </c>
      <c r="AB68" s="14">
        <f t="shared" si="4"/>
        <v>0</v>
      </c>
      <c r="AC68" s="14">
        <f t="shared" si="5"/>
        <v>0</v>
      </c>
      <c r="AD68" s="14">
        <f t="shared" si="6"/>
        <v>0</v>
      </c>
      <c r="AE68" s="14">
        <f t="shared" si="7"/>
        <v>0</v>
      </c>
      <c r="AF68" s="14">
        <f t="shared" si="8"/>
        <v>0</v>
      </c>
      <c r="AG68" s="14">
        <f t="shared" si="9"/>
        <v>0</v>
      </c>
      <c r="AH68" s="14">
        <f t="shared" si="10"/>
        <v>0</v>
      </c>
      <c r="AI68" s="43" t="s">
        <v>19</v>
      </c>
      <c r="AJ68" s="14">
        <f t="shared" si="11"/>
        <v>0</v>
      </c>
      <c r="AK68" s="14">
        <f t="shared" si="12"/>
        <v>0</v>
      </c>
      <c r="AL68" s="14">
        <f t="shared" si="13"/>
        <v>0</v>
      </c>
      <c r="AN68" s="14">
        <v>21</v>
      </c>
      <c r="AO68" s="14">
        <f t="shared" si="14"/>
        <v>0</v>
      </c>
      <c r="AP68" s="14">
        <f t="shared" si="15"/>
        <v>0</v>
      </c>
      <c r="AQ68" s="13" t="s">
        <v>205</v>
      </c>
      <c r="AV68" s="14">
        <f t="shared" si="16"/>
        <v>0</v>
      </c>
      <c r="AW68" s="14">
        <f t="shared" si="17"/>
        <v>0</v>
      </c>
      <c r="AX68" s="14">
        <f t="shared" si="18"/>
        <v>0</v>
      </c>
      <c r="AY68" s="13" t="s">
        <v>274</v>
      </c>
      <c r="AZ68" s="13" t="s">
        <v>275</v>
      </c>
      <c r="BA68" s="43" t="s">
        <v>182</v>
      </c>
      <c r="BC68" s="14">
        <f t="shared" si="19"/>
        <v>0</v>
      </c>
      <c r="BD68" s="14">
        <f t="shared" si="20"/>
        <v>0</v>
      </c>
      <c r="BE68" s="14">
        <v>0</v>
      </c>
      <c r="BF68" s="14">
        <f>68</f>
        <v>68</v>
      </c>
      <c r="BH68" s="14">
        <f t="shared" si="21"/>
        <v>0</v>
      </c>
      <c r="BI68" s="14">
        <f t="shared" si="22"/>
        <v>0</v>
      </c>
      <c r="BJ68" s="14">
        <f t="shared" si="23"/>
        <v>0</v>
      </c>
      <c r="BK68" s="14"/>
      <c r="BL68" s="14">
        <v>721</v>
      </c>
      <c r="BW68" s="14">
        <v>21</v>
      </c>
      <c r="BX68" s="4" t="s">
        <v>311</v>
      </c>
    </row>
    <row r="69" spans="1:76" ht="14.5" x14ac:dyDescent="0.35">
      <c r="A69" s="60" t="s">
        <v>19</v>
      </c>
      <c r="B69" s="61" t="s">
        <v>39</v>
      </c>
      <c r="C69" s="165" t="s">
        <v>40</v>
      </c>
      <c r="D69" s="166"/>
      <c r="E69" s="62" t="s">
        <v>3</v>
      </c>
      <c r="F69" s="62" t="s">
        <v>3</v>
      </c>
      <c r="G69" s="69" t="s">
        <v>3</v>
      </c>
      <c r="H69" s="38">
        <f>SUM(H70:H84)</f>
        <v>0</v>
      </c>
      <c r="I69" s="38">
        <f>SUM(I70:I84)</f>
        <v>0</v>
      </c>
      <c r="J69" s="64">
        <f>SUM(J70:J84)</f>
        <v>0</v>
      </c>
      <c r="AI69" s="43" t="s">
        <v>19</v>
      </c>
      <c r="AS69" s="38">
        <f>SUM(AJ70:AJ84)</f>
        <v>0</v>
      </c>
      <c r="AT69" s="38">
        <f>SUM(AK70:AK84)</f>
        <v>0</v>
      </c>
      <c r="AU69" s="38">
        <f>SUM(AL70:AL84)</f>
        <v>0</v>
      </c>
    </row>
    <row r="70" spans="1:76" ht="14.5" x14ac:dyDescent="0.35">
      <c r="A70" s="1" t="s">
        <v>23</v>
      </c>
      <c r="B70" s="2" t="s">
        <v>312</v>
      </c>
      <c r="C70" s="81" t="s">
        <v>769</v>
      </c>
      <c r="D70" s="75"/>
      <c r="E70" s="2" t="s">
        <v>273</v>
      </c>
      <c r="F70" s="14">
        <v>1</v>
      </c>
      <c r="G70" s="55">
        <v>0</v>
      </c>
      <c r="H70" s="14">
        <f t="shared" ref="H70:H84" si="24">F70*AO70</f>
        <v>0</v>
      </c>
      <c r="I70" s="14">
        <f t="shared" ref="I70:I84" si="25">F70*AP70</f>
        <v>0</v>
      </c>
      <c r="J70" s="56">
        <f t="shared" ref="J70:J84" si="26">F70*G70</f>
        <v>0</v>
      </c>
      <c r="Z70" s="14">
        <f t="shared" ref="Z70:Z84" si="27">IF(AQ70="5",BJ70,0)</f>
        <v>0</v>
      </c>
      <c r="AB70" s="14">
        <f t="shared" ref="AB70:AB84" si="28">IF(AQ70="1",BH70,0)</f>
        <v>0</v>
      </c>
      <c r="AC70" s="14">
        <f t="shared" ref="AC70:AC84" si="29">IF(AQ70="1",BI70,0)</f>
        <v>0</v>
      </c>
      <c r="AD70" s="14">
        <f t="shared" ref="AD70:AD84" si="30">IF(AQ70="7",BH70,0)</f>
        <v>0</v>
      </c>
      <c r="AE70" s="14">
        <f t="shared" ref="AE70:AE84" si="31">IF(AQ70="7",BI70,0)</f>
        <v>0</v>
      </c>
      <c r="AF70" s="14">
        <f t="shared" ref="AF70:AF84" si="32">IF(AQ70="2",BH70,0)</f>
        <v>0</v>
      </c>
      <c r="AG70" s="14">
        <f t="shared" ref="AG70:AG84" si="33">IF(AQ70="2",BI70,0)</f>
        <v>0</v>
      </c>
      <c r="AH70" s="14">
        <f t="shared" ref="AH70:AH84" si="34">IF(AQ70="0",BJ70,0)</f>
        <v>0</v>
      </c>
      <c r="AI70" s="43" t="s">
        <v>19</v>
      </c>
      <c r="AJ70" s="14">
        <f t="shared" ref="AJ70:AJ84" si="35">IF(AN70=0,J70,0)</f>
        <v>0</v>
      </c>
      <c r="AK70" s="14">
        <f t="shared" ref="AK70:AK84" si="36">IF(AN70=12,J70,0)</f>
        <v>0</v>
      </c>
      <c r="AL70" s="14">
        <f t="shared" ref="AL70:AL84" si="37">IF(AN70=21,J70,0)</f>
        <v>0</v>
      </c>
      <c r="AN70" s="14">
        <v>21</v>
      </c>
      <c r="AO70" s="14">
        <f t="shared" ref="AO70:AO84" si="38">G70*0</f>
        <v>0</v>
      </c>
      <c r="AP70" s="14">
        <f t="shared" ref="AP70:AP84" si="39">G70*(1-0)</f>
        <v>0</v>
      </c>
      <c r="AQ70" s="13" t="s">
        <v>205</v>
      </c>
      <c r="AV70" s="14">
        <f t="shared" ref="AV70:AV84" si="40">AW70+AX70</f>
        <v>0</v>
      </c>
      <c r="AW70" s="14">
        <f t="shared" ref="AW70:AW84" si="41">F70*AO70</f>
        <v>0</v>
      </c>
      <c r="AX70" s="14">
        <f t="shared" ref="AX70:AX84" si="42">F70*AP70</f>
        <v>0</v>
      </c>
      <c r="AY70" s="13" t="s">
        <v>314</v>
      </c>
      <c r="AZ70" s="13" t="s">
        <v>275</v>
      </c>
      <c r="BA70" s="43" t="s">
        <v>182</v>
      </c>
      <c r="BC70" s="14">
        <f t="shared" ref="BC70:BC84" si="43">AW70+AX70</f>
        <v>0</v>
      </c>
      <c r="BD70" s="14">
        <f t="shared" ref="BD70:BD84" si="44">G70/(100-BE70)*100</f>
        <v>0</v>
      </c>
      <c r="BE70" s="14">
        <v>0</v>
      </c>
      <c r="BF70" s="14">
        <f>70</f>
        <v>70</v>
      </c>
      <c r="BH70" s="14">
        <f t="shared" ref="BH70:BH84" si="45">F70*AO70</f>
        <v>0</v>
      </c>
      <c r="BI70" s="14">
        <f t="shared" ref="BI70:BI84" si="46">F70*AP70</f>
        <v>0</v>
      </c>
      <c r="BJ70" s="14">
        <f t="shared" ref="BJ70:BJ84" si="47">F70*G70</f>
        <v>0</v>
      </c>
      <c r="BK70" s="14"/>
      <c r="BL70" s="14">
        <v>722</v>
      </c>
      <c r="BW70" s="14">
        <v>21</v>
      </c>
      <c r="BX70" s="4" t="s">
        <v>313</v>
      </c>
    </row>
    <row r="71" spans="1:76" ht="14.5" x14ac:dyDescent="0.35">
      <c r="A71" s="1" t="s">
        <v>315</v>
      </c>
      <c r="B71" s="2" t="s">
        <v>316</v>
      </c>
      <c r="C71" s="81" t="s">
        <v>770</v>
      </c>
      <c r="D71" s="75"/>
      <c r="E71" s="2" t="s">
        <v>273</v>
      </c>
      <c r="F71" s="14">
        <v>2</v>
      </c>
      <c r="G71" s="55">
        <v>0</v>
      </c>
      <c r="H71" s="14">
        <f t="shared" si="24"/>
        <v>0</v>
      </c>
      <c r="I71" s="14">
        <f t="shared" si="25"/>
        <v>0</v>
      </c>
      <c r="J71" s="56">
        <f t="shared" si="26"/>
        <v>0</v>
      </c>
      <c r="Z71" s="14">
        <f t="shared" si="27"/>
        <v>0</v>
      </c>
      <c r="AB71" s="14">
        <f t="shared" si="28"/>
        <v>0</v>
      </c>
      <c r="AC71" s="14">
        <f t="shared" si="29"/>
        <v>0</v>
      </c>
      <c r="AD71" s="14">
        <f t="shared" si="30"/>
        <v>0</v>
      </c>
      <c r="AE71" s="14">
        <f t="shared" si="31"/>
        <v>0</v>
      </c>
      <c r="AF71" s="14">
        <f t="shared" si="32"/>
        <v>0</v>
      </c>
      <c r="AG71" s="14">
        <f t="shared" si="33"/>
        <v>0</v>
      </c>
      <c r="AH71" s="14">
        <f t="shared" si="34"/>
        <v>0</v>
      </c>
      <c r="AI71" s="43" t="s">
        <v>19</v>
      </c>
      <c r="AJ71" s="14">
        <f t="shared" si="35"/>
        <v>0</v>
      </c>
      <c r="AK71" s="14">
        <f t="shared" si="36"/>
        <v>0</v>
      </c>
      <c r="AL71" s="14">
        <f t="shared" si="37"/>
        <v>0</v>
      </c>
      <c r="AN71" s="14">
        <v>21</v>
      </c>
      <c r="AO71" s="14">
        <f t="shared" si="38"/>
        <v>0</v>
      </c>
      <c r="AP71" s="14">
        <f t="shared" si="39"/>
        <v>0</v>
      </c>
      <c r="AQ71" s="13" t="s">
        <v>205</v>
      </c>
      <c r="AV71" s="14">
        <f t="shared" si="40"/>
        <v>0</v>
      </c>
      <c r="AW71" s="14">
        <f t="shared" si="41"/>
        <v>0</v>
      </c>
      <c r="AX71" s="14">
        <f t="shared" si="42"/>
        <v>0</v>
      </c>
      <c r="AY71" s="13" t="s">
        <v>314</v>
      </c>
      <c r="AZ71" s="13" t="s">
        <v>275</v>
      </c>
      <c r="BA71" s="43" t="s">
        <v>182</v>
      </c>
      <c r="BC71" s="14">
        <f t="shared" si="43"/>
        <v>0</v>
      </c>
      <c r="BD71" s="14">
        <f t="shared" si="44"/>
        <v>0</v>
      </c>
      <c r="BE71" s="14">
        <v>0</v>
      </c>
      <c r="BF71" s="14">
        <f>71</f>
        <v>71</v>
      </c>
      <c r="BH71" s="14">
        <f t="shared" si="45"/>
        <v>0</v>
      </c>
      <c r="BI71" s="14">
        <f t="shared" si="46"/>
        <v>0</v>
      </c>
      <c r="BJ71" s="14">
        <f t="shared" si="47"/>
        <v>0</v>
      </c>
      <c r="BK71" s="14"/>
      <c r="BL71" s="14">
        <v>722</v>
      </c>
      <c r="BW71" s="14">
        <v>21</v>
      </c>
      <c r="BX71" s="4" t="s">
        <v>317</v>
      </c>
    </row>
    <row r="72" spans="1:76" ht="14.5" x14ac:dyDescent="0.35">
      <c r="A72" s="1" t="s">
        <v>318</v>
      </c>
      <c r="B72" s="2" t="s">
        <v>319</v>
      </c>
      <c r="C72" s="81" t="s">
        <v>777</v>
      </c>
      <c r="D72" s="75"/>
      <c r="E72" s="2" t="s">
        <v>232</v>
      </c>
      <c r="F72" s="14">
        <v>24</v>
      </c>
      <c r="G72" s="55">
        <v>0</v>
      </c>
      <c r="H72" s="14">
        <f t="shared" si="24"/>
        <v>0</v>
      </c>
      <c r="I72" s="14">
        <f t="shared" si="25"/>
        <v>0</v>
      </c>
      <c r="J72" s="56">
        <f t="shared" si="26"/>
        <v>0</v>
      </c>
      <c r="Z72" s="14">
        <f t="shared" si="27"/>
        <v>0</v>
      </c>
      <c r="AB72" s="14">
        <f t="shared" si="28"/>
        <v>0</v>
      </c>
      <c r="AC72" s="14">
        <f t="shared" si="29"/>
        <v>0</v>
      </c>
      <c r="AD72" s="14">
        <f t="shared" si="30"/>
        <v>0</v>
      </c>
      <c r="AE72" s="14">
        <f t="shared" si="31"/>
        <v>0</v>
      </c>
      <c r="AF72" s="14">
        <f t="shared" si="32"/>
        <v>0</v>
      </c>
      <c r="AG72" s="14">
        <f t="shared" si="33"/>
        <v>0</v>
      </c>
      <c r="AH72" s="14">
        <f t="shared" si="34"/>
        <v>0</v>
      </c>
      <c r="AI72" s="43" t="s">
        <v>19</v>
      </c>
      <c r="AJ72" s="14">
        <f t="shared" si="35"/>
        <v>0</v>
      </c>
      <c r="AK72" s="14">
        <f t="shared" si="36"/>
        <v>0</v>
      </c>
      <c r="AL72" s="14">
        <f t="shared" si="37"/>
        <v>0</v>
      </c>
      <c r="AN72" s="14">
        <v>21</v>
      </c>
      <c r="AO72" s="14">
        <f t="shared" si="38"/>
        <v>0</v>
      </c>
      <c r="AP72" s="14">
        <f t="shared" si="39"/>
        <v>0</v>
      </c>
      <c r="AQ72" s="13" t="s">
        <v>205</v>
      </c>
      <c r="AV72" s="14">
        <f t="shared" si="40"/>
        <v>0</v>
      </c>
      <c r="AW72" s="14">
        <f t="shared" si="41"/>
        <v>0</v>
      </c>
      <c r="AX72" s="14">
        <f t="shared" si="42"/>
        <v>0</v>
      </c>
      <c r="AY72" s="13" t="s">
        <v>314</v>
      </c>
      <c r="AZ72" s="13" t="s">
        <v>275</v>
      </c>
      <c r="BA72" s="43" t="s">
        <v>182</v>
      </c>
      <c r="BC72" s="14">
        <f t="shared" si="43"/>
        <v>0</v>
      </c>
      <c r="BD72" s="14">
        <f t="shared" si="44"/>
        <v>0</v>
      </c>
      <c r="BE72" s="14">
        <v>0</v>
      </c>
      <c r="BF72" s="14">
        <f>72</f>
        <v>72</v>
      </c>
      <c r="BH72" s="14">
        <f t="shared" si="45"/>
        <v>0</v>
      </c>
      <c r="BI72" s="14">
        <f t="shared" si="46"/>
        <v>0</v>
      </c>
      <c r="BJ72" s="14">
        <f t="shared" si="47"/>
        <v>0</v>
      </c>
      <c r="BK72" s="14"/>
      <c r="BL72" s="14">
        <v>722</v>
      </c>
      <c r="BW72" s="14">
        <v>21</v>
      </c>
      <c r="BX72" s="4" t="s">
        <v>320</v>
      </c>
    </row>
    <row r="73" spans="1:76" ht="14.5" x14ac:dyDescent="0.35">
      <c r="A73" s="1" t="s">
        <v>321</v>
      </c>
      <c r="B73" s="2" t="s">
        <v>322</v>
      </c>
      <c r="C73" s="81" t="s">
        <v>778</v>
      </c>
      <c r="D73" s="75"/>
      <c r="E73" s="2" t="s">
        <v>232</v>
      </c>
      <c r="F73" s="14">
        <v>31</v>
      </c>
      <c r="G73" s="55">
        <v>0</v>
      </c>
      <c r="H73" s="14">
        <f t="shared" si="24"/>
        <v>0</v>
      </c>
      <c r="I73" s="14">
        <f t="shared" si="25"/>
        <v>0</v>
      </c>
      <c r="J73" s="56">
        <f t="shared" si="26"/>
        <v>0</v>
      </c>
      <c r="Z73" s="14">
        <f t="shared" si="27"/>
        <v>0</v>
      </c>
      <c r="AB73" s="14">
        <f t="shared" si="28"/>
        <v>0</v>
      </c>
      <c r="AC73" s="14">
        <f t="shared" si="29"/>
        <v>0</v>
      </c>
      <c r="AD73" s="14">
        <f t="shared" si="30"/>
        <v>0</v>
      </c>
      <c r="AE73" s="14">
        <f t="shared" si="31"/>
        <v>0</v>
      </c>
      <c r="AF73" s="14">
        <f t="shared" si="32"/>
        <v>0</v>
      </c>
      <c r="AG73" s="14">
        <f t="shared" si="33"/>
        <v>0</v>
      </c>
      <c r="AH73" s="14">
        <f t="shared" si="34"/>
        <v>0</v>
      </c>
      <c r="AI73" s="43" t="s">
        <v>19</v>
      </c>
      <c r="AJ73" s="14">
        <f t="shared" si="35"/>
        <v>0</v>
      </c>
      <c r="AK73" s="14">
        <f t="shared" si="36"/>
        <v>0</v>
      </c>
      <c r="AL73" s="14">
        <f t="shared" si="37"/>
        <v>0</v>
      </c>
      <c r="AN73" s="14">
        <v>21</v>
      </c>
      <c r="AO73" s="14">
        <f t="shared" si="38"/>
        <v>0</v>
      </c>
      <c r="AP73" s="14">
        <f t="shared" si="39"/>
        <v>0</v>
      </c>
      <c r="AQ73" s="13" t="s">
        <v>205</v>
      </c>
      <c r="AV73" s="14">
        <f t="shared" si="40"/>
        <v>0</v>
      </c>
      <c r="AW73" s="14">
        <f t="shared" si="41"/>
        <v>0</v>
      </c>
      <c r="AX73" s="14">
        <f t="shared" si="42"/>
        <v>0</v>
      </c>
      <c r="AY73" s="13" t="s">
        <v>314</v>
      </c>
      <c r="AZ73" s="13" t="s">
        <v>275</v>
      </c>
      <c r="BA73" s="43" t="s">
        <v>182</v>
      </c>
      <c r="BC73" s="14">
        <f t="shared" si="43"/>
        <v>0</v>
      </c>
      <c r="BD73" s="14">
        <f t="shared" si="44"/>
        <v>0</v>
      </c>
      <c r="BE73" s="14">
        <v>0</v>
      </c>
      <c r="BF73" s="14">
        <f>73</f>
        <v>73</v>
      </c>
      <c r="BH73" s="14">
        <f t="shared" si="45"/>
        <v>0</v>
      </c>
      <c r="BI73" s="14">
        <f t="shared" si="46"/>
        <v>0</v>
      </c>
      <c r="BJ73" s="14">
        <f t="shared" si="47"/>
        <v>0</v>
      </c>
      <c r="BK73" s="14"/>
      <c r="BL73" s="14">
        <v>722</v>
      </c>
      <c r="BW73" s="14">
        <v>21</v>
      </c>
      <c r="BX73" s="4" t="s">
        <v>323</v>
      </c>
    </row>
    <row r="74" spans="1:76" ht="14.5" x14ac:dyDescent="0.35">
      <c r="A74" s="1" t="s">
        <v>324</v>
      </c>
      <c r="B74" s="2" t="s">
        <v>325</v>
      </c>
      <c r="C74" s="81" t="s">
        <v>779</v>
      </c>
      <c r="D74" s="75"/>
      <c r="E74" s="2" t="s">
        <v>232</v>
      </c>
      <c r="F74" s="14">
        <v>34</v>
      </c>
      <c r="G74" s="55">
        <v>0</v>
      </c>
      <c r="H74" s="14">
        <f t="shared" si="24"/>
        <v>0</v>
      </c>
      <c r="I74" s="14">
        <f t="shared" si="25"/>
        <v>0</v>
      </c>
      <c r="J74" s="56">
        <f t="shared" si="26"/>
        <v>0</v>
      </c>
      <c r="Z74" s="14">
        <f t="shared" si="27"/>
        <v>0</v>
      </c>
      <c r="AB74" s="14">
        <f t="shared" si="28"/>
        <v>0</v>
      </c>
      <c r="AC74" s="14">
        <f t="shared" si="29"/>
        <v>0</v>
      </c>
      <c r="AD74" s="14">
        <f t="shared" si="30"/>
        <v>0</v>
      </c>
      <c r="AE74" s="14">
        <f t="shared" si="31"/>
        <v>0</v>
      </c>
      <c r="AF74" s="14">
        <f t="shared" si="32"/>
        <v>0</v>
      </c>
      <c r="AG74" s="14">
        <f t="shared" si="33"/>
        <v>0</v>
      </c>
      <c r="AH74" s="14">
        <f t="shared" si="34"/>
        <v>0</v>
      </c>
      <c r="AI74" s="43" t="s">
        <v>19</v>
      </c>
      <c r="AJ74" s="14">
        <f t="shared" si="35"/>
        <v>0</v>
      </c>
      <c r="AK74" s="14">
        <f t="shared" si="36"/>
        <v>0</v>
      </c>
      <c r="AL74" s="14">
        <f t="shared" si="37"/>
        <v>0</v>
      </c>
      <c r="AN74" s="14">
        <v>21</v>
      </c>
      <c r="AO74" s="14">
        <f t="shared" si="38"/>
        <v>0</v>
      </c>
      <c r="AP74" s="14">
        <f t="shared" si="39"/>
        <v>0</v>
      </c>
      <c r="AQ74" s="13" t="s">
        <v>205</v>
      </c>
      <c r="AV74" s="14">
        <f t="shared" si="40"/>
        <v>0</v>
      </c>
      <c r="AW74" s="14">
        <f t="shared" si="41"/>
        <v>0</v>
      </c>
      <c r="AX74" s="14">
        <f t="shared" si="42"/>
        <v>0</v>
      </c>
      <c r="AY74" s="13" t="s">
        <v>314</v>
      </c>
      <c r="AZ74" s="13" t="s">
        <v>275</v>
      </c>
      <c r="BA74" s="43" t="s">
        <v>182</v>
      </c>
      <c r="BC74" s="14">
        <f t="shared" si="43"/>
        <v>0</v>
      </c>
      <c r="BD74" s="14">
        <f t="shared" si="44"/>
        <v>0</v>
      </c>
      <c r="BE74" s="14">
        <v>0</v>
      </c>
      <c r="BF74" s="14">
        <f>74</f>
        <v>74</v>
      </c>
      <c r="BH74" s="14">
        <f t="shared" si="45"/>
        <v>0</v>
      </c>
      <c r="BI74" s="14">
        <f t="shared" si="46"/>
        <v>0</v>
      </c>
      <c r="BJ74" s="14">
        <f t="shared" si="47"/>
        <v>0</v>
      </c>
      <c r="BK74" s="14"/>
      <c r="BL74" s="14">
        <v>722</v>
      </c>
      <c r="BW74" s="14">
        <v>21</v>
      </c>
      <c r="BX74" s="4" t="s">
        <v>326</v>
      </c>
    </row>
    <row r="75" spans="1:76" ht="14.5" x14ac:dyDescent="0.35">
      <c r="A75" s="1" t="s">
        <v>327</v>
      </c>
      <c r="B75" s="2" t="s">
        <v>328</v>
      </c>
      <c r="C75" s="81" t="s">
        <v>780</v>
      </c>
      <c r="D75" s="75"/>
      <c r="E75" s="2" t="s">
        <v>300</v>
      </c>
      <c r="F75" s="14">
        <v>1</v>
      </c>
      <c r="G75" s="55">
        <v>0</v>
      </c>
      <c r="H75" s="14">
        <f t="shared" si="24"/>
        <v>0</v>
      </c>
      <c r="I75" s="14">
        <f t="shared" si="25"/>
        <v>0</v>
      </c>
      <c r="J75" s="56">
        <f t="shared" si="26"/>
        <v>0</v>
      </c>
      <c r="Z75" s="14">
        <f t="shared" si="27"/>
        <v>0</v>
      </c>
      <c r="AB75" s="14">
        <f t="shared" si="28"/>
        <v>0</v>
      </c>
      <c r="AC75" s="14">
        <f t="shared" si="29"/>
        <v>0</v>
      </c>
      <c r="AD75" s="14">
        <f t="shared" si="30"/>
        <v>0</v>
      </c>
      <c r="AE75" s="14">
        <f t="shared" si="31"/>
        <v>0</v>
      </c>
      <c r="AF75" s="14">
        <f t="shared" si="32"/>
        <v>0</v>
      </c>
      <c r="AG75" s="14">
        <f t="shared" si="33"/>
        <v>0</v>
      </c>
      <c r="AH75" s="14">
        <f t="shared" si="34"/>
        <v>0</v>
      </c>
      <c r="AI75" s="43" t="s">
        <v>19</v>
      </c>
      <c r="AJ75" s="14">
        <f t="shared" si="35"/>
        <v>0</v>
      </c>
      <c r="AK75" s="14">
        <f t="shared" si="36"/>
        <v>0</v>
      </c>
      <c r="AL75" s="14">
        <f t="shared" si="37"/>
        <v>0</v>
      </c>
      <c r="AN75" s="14">
        <v>21</v>
      </c>
      <c r="AO75" s="14">
        <f t="shared" si="38"/>
        <v>0</v>
      </c>
      <c r="AP75" s="14">
        <f t="shared" si="39"/>
        <v>0</v>
      </c>
      <c r="AQ75" s="13" t="s">
        <v>205</v>
      </c>
      <c r="AV75" s="14">
        <f t="shared" si="40"/>
        <v>0</v>
      </c>
      <c r="AW75" s="14">
        <f t="shared" si="41"/>
        <v>0</v>
      </c>
      <c r="AX75" s="14">
        <f t="shared" si="42"/>
        <v>0</v>
      </c>
      <c r="AY75" s="13" t="s">
        <v>314</v>
      </c>
      <c r="AZ75" s="13" t="s">
        <v>275</v>
      </c>
      <c r="BA75" s="43" t="s">
        <v>182</v>
      </c>
      <c r="BC75" s="14">
        <f t="shared" si="43"/>
        <v>0</v>
      </c>
      <c r="BD75" s="14">
        <f t="shared" si="44"/>
        <v>0</v>
      </c>
      <c r="BE75" s="14">
        <v>0</v>
      </c>
      <c r="BF75" s="14">
        <f>75</f>
        <v>75</v>
      </c>
      <c r="BH75" s="14">
        <f t="shared" si="45"/>
        <v>0</v>
      </c>
      <c r="BI75" s="14">
        <f t="shared" si="46"/>
        <v>0</v>
      </c>
      <c r="BJ75" s="14">
        <f t="shared" si="47"/>
        <v>0</v>
      </c>
      <c r="BK75" s="14"/>
      <c r="BL75" s="14">
        <v>722</v>
      </c>
      <c r="BW75" s="14">
        <v>21</v>
      </c>
      <c r="BX75" s="4" t="s">
        <v>329</v>
      </c>
    </row>
    <row r="76" spans="1:76" ht="14.5" x14ac:dyDescent="0.35">
      <c r="A76" s="1" t="s">
        <v>330</v>
      </c>
      <c r="B76" s="2" t="s">
        <v>331</v>
      </c>
      <c r="C76" s="81" t="s">
        <v>781</v>
      </c>
      <c r="D76" s="75"/>
      <c r="E76" s="2" t="s">
        <v>232</v>
      </c>
      <c r="F76" s="14">
        <v>10</v>
      </c>
      <c r="G76" s="55">
        <v>0</v>
      </c>
      <c r="H76" s="14">
        <f t="shared" si="24"/>
        <v>0</v>
      </c>
      <c r="I76" s="14">
        <f t="shared" si="25"/>
        <v>0</v>
      </c>
      <c r="J76" s="56">
        <f t="shared" si="26"/>
        <v>0</v>
      </c>
      <c r="Z76" s="14">
        <f t="shared" si="27"/>
        <v>0</v>
      </c>
      <c r="AB76" s="14">
        <f t="shared" si="28"/>
        <v>0</v>
      </c>
      <c r="AC76" s="14">
        <f t="shared" si="29"/>
        <v>0</v>
      </c>
      <c r="AD76" s="14">
        <f t="shared" si="30"/>
        <v>0</v>
      </c>
      <c r="AE76" s="14">
        <f t="shared" si="31"/>
        <v>0</v>
      </c>
      <c r="AF76" s="14">
        <f t="shared" si="32"/>
        <v>0</v>
      </c>
      <c r="AG76" s="14">
        <f t="shared" si="33"/>
        <v>0</v>
      </c>
      <c r="AH76" s="14">
        <f t="shared" si="34"/>
        <v>0</v>
      </c>
      <c r="AI76" s="43" t="s">
        <v>19</v>
      </c>
      <c r="AJ76" s="14">
        <f t="shared" si="35"/>
        <v>0</v>
      </c>
      <c r="AK76" s="14">
        <f t="shared" si="36"/>
        <v>0</v>
      </c>
      <c r="AL76" s="14">
        <f t="shared" si="37"/>
        <v>0</v>
      </c>
      <c r="AN76" s="14">
        <v>21</v>
      </c>
      <c r="AO76" s="14">
        <f t="shared" si="38"/>
        <v>0</v>
      </c>
      <c r="AP76" s="14">
        <f t="shared" si="39"/>
        <v>0</v>
      </c>
      <c r="AQ76" s="13" t="s">
        <v>205</v>
      </c>
      <c r="AV76" s="14">
        <f t="shared" si="40"/>
        <v>0</v>
      </c>
      <c r="AW76" s="14">
        <f t="shared" si="41"/>
        <v>0</v>
      </c>
      <c r="AX76" s="14">
        <f t="shared" si="42"/>
        <v>0</v>
      </c>
      <c r="AY76" s="13" t="s">
        <v>314</v>
      </c>
      <c r="AZ76" s="13" t="s">
        <v>275</v>
      </c>
      <c r="BA76" s="43" t="s">
        <v>182</v>
      </c>
      <c r="BC76" s="14">
        <f t="shared" si="43"/>
        <v>0</v>
      </c>
      <c r="BD76" s="14">
        <f t="shared" si="44"/>
        <v>0</v>
      </c>
      <c r="BE76" s="14">
        <v>0</v>
      </c>
      <c r="BF76" s="14">
        <f>76</f>
        <v>76</v>
      </c>
      <c r="BH76" s="14">
        <f t="shared" si="45"/>
        <v>0</v>
      </c>
      <c r="BI76" s="14">
        <f t="shared" si="46"/>
        <v>0</v>
      </c>
      <c r="BJ76" s="14">
        <f t="shared" si="47"/>
        <v>0</v>
      </c>
      <c r="BK76" s="14"/>
      <c r="BL76" s="14">
        <v>722</v>
      </c>
      <c r="BW76" s="14">
        <v>21</v>
      </c>
      <c r="BX76" s="4" t="s">
        <v>332</v>
      </c>
    </row>
    <row r="77" spans="1:76" ht="14.5" x14ac:dyDescent="0.35">
      <c r="A77" s="1" t="s">
        <v>25</v>
      </c>
      <c r="B77" s="2" t="s">
        <v>333</v>
      </c>
      <c r="C77" s="81" t="s">
        <v>782</v>
      </c>
      <c r="D77" s="75"/>
      <c r="E77" s="2" t="s">
        <v>232</v>
      </c>
      <c r="F77" s="14">
        <v>31</v>
      </c>
      <c r="G77" s="55">
        <v>0</v>
      </c>
      <c r="H77" s="14">
        <f t="shared" si="24"/>
        <v>0</v>
      </c>
      <c r="I77" s="14">
        <f t="shared" si="25"/>
        <v>0</v>
      </c>
      <c r="J77" s="56">
        <f t="shared" si="26"/>
        <v>0</v>
      </c>
      <c r="Z77" s="14">
        <f t="shared" si="27"/>
        <v>0</v>
      </c>
      <c r="AB77" s="14">
        <f t="shared" si="28"/>
        <v>0</v>
      </c>
      <c r="AC77" s="14">
        <f t="shared" si="29"/>
        <v>0</v>
      </c>
      <c r="AD77" s="14">
        <f t="shared" si="30"/>
        <v>0</v>
      </c>
      <c r="AE77" s="14">
        <f t="shared" si="31"/>
        <v>0</v>
      </c>
      <c r="AF77" s="14">
        <f t="shared" si="32"/>
        <v>0</v>
      </c>
      <c r="AG77" s="14">
        <f t="shared" si="33"/>
        <v>0</v>
      </c>
      <c r="AH77" s="14">
        <f t="shared" si="34"/>
        <v>0</v>
      </c>
      <c r="AI77" s="43" t="s">
        <v>19</v>
      </c>
      <c r="AJ77" s="14">
        <f t="shared" si="35"/>
        <v>0</v>
      </c>
      <c r="AK77" s="14">
        <f t="shared" si="36"/>
        <v>0</v>
      </c>
      <c r="AL77" s="14">
        <f t="shared" si="37"/>
        <v>0</v>
      </c>
      <c r="AN77" s="14">
        <v>21</v>
      </c>
      <c r="AO77" s="14">
        <f t="shared" si="38"/>
        <v>0</v>
      </c>
      <c r="AP77" s="14">
        <f t="shared" si="39"/>
        <v>0</v>
      </c>
      <c r="AQ77" s="13" t="s">
        <v>205</v>
      </c>
      <c r="AV77" s="14">
        <f t="shared" si="40"/>
        <v>0</v>
      </c>
      <c r="AW77" s="14">
        <f t="shared" si="41"/>
        <v>0</v>
      </c>
      <c r="AX77" s="14">
        <f t="shared" si="42"/>
        <v>0</v>
      </c>
      <c r="AY77" s="13" t="s">
        <v>314</v>
      </c>
      <c r="AZ77" s="13" t="s">
        <v>275</v>
      </c>
      <c r="BA77" s="43" t="s">
        <v>182</v>
      </c>
      <c r="BC77" s="14">
        <f t="shared" si="43"/>
        <v>0</v>
      </c>
      <c r="BD77" s="14">
        <f t="shared" si="44"/>
        <v>0</v>
      </c>
      <c r="BE77" s="14">
        <v>0</v>
      </c>
      <c r="BF77" s="14">
        <f>77</f>
        <v>77</v>
      </c>
      <c r="BH77" s="14">
        <f t="shared" si="45"/>
        <v>0</v>
      </c>
      <c r="BI77" s="14">
        <f t="shared" si="46"/>
        <v>0</v>
      </c>
      <c r="BJ77" s="14">
        <f t="shared" si="47"/>
        <v>0</v>
      </c>
      <c r="BK77" s="14"/>
      <c r="BL77" s="14">
        <v>722</v>
      </c>
      <c r="BW77" s="14">
        <v>21</v>
      </c>
      <c r="BX77" s="4" t="s">
        <v>334</v>
      </c>
    </row>
    <row r="78" spans="1:76" ht="14.5" x14ac:dyDescent="0.35">
      <c r="A78" s="1" t="s">
        <v>335</v>
      </c>
      <c r="B78" s="2" t="s">
        <v>336</v>
      </c>
      <c r="C78" s="81" t="s">
        <v>783</v>
      </c>
      <c r="D78" s="75"/>
      <c r="E78" s="2" t="s">
        <v>232</v>
      </c>
      <c r="F78" s="14">
        <v>19</v>
      </c>
      <c r="G78" s="55">
        <v>0</v>
      </c>
      <c r="H78" s="14">
        <f t="shared" si="24"/>
        <v>0</v>
      </c>
      <c r="I78" s="14">
        <f t="shared" si="25"/>
        <v>0</v>
      </c>
      <c r="J78" s="56">
        <f t="shared" si="26"/>
        <v>0</v>
      </c>
      <c r="Z78" s="14">
        <f t="shared" si="27"/>
        <v>0</v>
      </c>
      <c r="AB78" s="14">
        <f t="shared" si="28"/>
        <v>0</v>
      </c>
      <c r="AC78" s="14">
        <f t="shared" si="29"/>
        <v>0</v>
      </c>
      <c r="AD78" s="14">
        <f t="shared" si="30"/>
        <v>0</v>
      </c>
      <c r="AE78" s="14">
        <f t="shared" si="31"/>
        <v>0</v>
      </c>
      <c r="AF78" s="14">
        <f t="shared" si="32"/>
        <v>0</v>
      </c>
      <c r="AG78" s="14">
        <f t="shared" si="33"/>
        <v>0</v>
      </c>
      <c r="AH78" s="14">
        <f t="shared" si="34"/>
        <v>0</v>
      </c>
      <c r="AI78" s="43" t="s">
        <v>19</v>
      </c>
      <c r="AJ78" s="14">
        <f t="shared" si="35"/>
        <v>0</v>
      </c>
      <c r="AK78" s="14">
        <f t="shared" si="36"/>
        <v>0</v>
      </c>
      <c r="AL78" s="14">
        <f t="shared" si="37"/>
        <v>0</v>
      </c>
      <c r="AN78" s="14">
        <v>21</v>
      </c>
      <c r="AO78" s="14">
        <f t="shared" si="38"/>
        <v>0</v>
      </c>
      <c r="AP78" s="14">
        <f t="shared" si="39"/>
        <v>0</v>
      </c>
      <c r="AQ78" s="13" t="s">
        <v>205</v>
      </c>
      <c r="AV78" s="14">
        <f t="shared" si="40"/>
        <v>0</v>
      </c>
      <c r="AW78" s="14">
        <f t="shared" si="41"/>
        <v>0</v>
      </c>
      <c r="AX78" s="14">
        <f t="shared" si="42"/>
        <v>0</v>
      </c>
      <c r="AY78" s="13" t="s">
        <v>314</v>
      </c>
      <c r="AZ78" s="13" t="s">
        <v>275</v>
      </c>
      <c r="BA78" s="43" t="s">
        <v>182</v>
      </c>
      <c r="BC78" s="14">
        <f t="shared" si="43"/>
        <v>0</v>
      </c>
      <c r="BD78" s="14">
        <f t="shared" si="44"/>
        <v>0</v>
      </c>
      <c r="BE78" s="14">
        <v>0</v>
      </c>
      <c r="BF78" s="14">
        <f>78</f>
        <v>78</v>
      </c>
      <c r="BH78" s="14">
        <f t="shared" si="45"/>
        <v>0</v>
      </c>
      <c r="BI78" s="14">
        <f t="shared" si="46"/>
        <v>0</v>
      </c>
      <c r="BJ78" s="14">
        <f t="shared" si="47"/>
        <v>0</v>
      </c>
      <c r="BK78" s="14"/>
      <c r="BL78" s="14">
        <v>722</v>
      </c>
      <c r="BW78" s="14">
        <v>21</v>
      </c>
      <c r="BX78" s="4" t="s">
        <v>337</v>
      </c>
    </row>
    <row r="79" spans="1:76" ht="14.5" x14ac:dyDescent="0.35">
      <c r="A79" s="1" t="s">
        <v>338</v>
      </c>
      <c r="B79" s="2" t="s">
        <v>339</v>
      </c>
      <c r="C79" s="81" t="s">
        <v>784</v>
      </c>
      <c r="D79" s="75"/>
      <c r="E79" s="2" t="s">
        <v>232</v>
      </c>
      <c r="F79" s="14">
        <v>14</v>
      </c>
      <c r="G79" s="55">
        <v>0</v>
      </c>
      <c r="H79" s="14">
        <f t="shared" si="24"/>
        <v>0</v>
      </c>
      <c r="I79" s="14">
        <f t="shared" si="25"/>
        <v>0</v>
      </c>
      <c r="J79" s="56">
        <f t="shared" si="26"/>
        <v>0</v>
      </c>
      <c r="Z79" s="14">
        <f t="shared" si="27"/>
        <v>0</v>
      </c>
      <c r="AB79" s="14">
        <f t="shared" si="28"/>
        <v>0</v>
      </c>
      <c r="AC79" s="14">
        <f t="shared" si="29"/>
        <v>0</v>
      </c>
      <c r="AD79" s="14">
        <f t="shared" si="30"/>
        <v>0</v>
      </c>
      <c r="AE79" s="14">
        <f t="shared" si="31"/>
        <v>0</v>
      </c>
      <c r="AF79" s="14">
        <f t="shared" si="32"/>
        <v>0</v>
      </c>
      <c r="AG79" s="14">
        <f t="shared" si="33"/>
        <v>0</v>
      </c>
      <c r="AH79" s="14">
        <f t="shared" si="34"/>
        <v>0</v>
      </c>
      <c r="AI79" s="43" t="s">
        <v>19</v>
      </c>
      <c r="AJ79" s="14">
        <f t="shared" si="35"/>
        <v>0</v>
      </c>
      <c r="AK79" s="14">
        <f t="shared" si="36"/>
        <v>0</v>
      </c>
      <c r="AL79" s="14">
        <f t="shared" si="37"/>
        <v>0</v>
      </c>
      <c r="AN79" s="14">
        <v>21</v>
      </c>
      <c r="AO79" s="14">
        <f t="shared" si="38"/>
        <v>0</v>
      </c>
      <c r="AP79" s="14">
        <f t="shared" si="39"/>
        <v>0</v>
      </c>
      <c r="AQ79" s="13" t="s">
        <v>205</v>
      </c>
      <c r="AV79" s="14">
        <f t="shared" si="40"/>
        <v>0</v>
      </c>
      <c r="AW79" s="14">
        <f t="shared" si="41"/>
        <v>0</v>
      </c>
      <c r="AX79" s="14">
        <f t="shared" si="42"/>
        <v>0</v>
      </c>
      <c r="AY79" s="13" t="s">
        <v>314</v>
      </c>
      <c r="AZ79" s="13" t="s">
        <v>275</v>
      </c>
      <c r="BA79" s="43" t="s">
        <v>182</v>
      </c>
      <c r="BC79" s="14">
        <f t="shared" si="43"/>
        <v>0</v>
      </c>
      <c r="BD79" s="14">
        <f t="shared" si="44"/>
        <v>0</v>
      </c>
      <c r="BE79" s="14">
        <v>0</v>
      </c>
      <c r="BF79" s="14">
        <f>79</f>
        <v>79</v>
      </c>
      <c r="BH79" s="14">
        <f t="shared" si="45"/>
        <v>0</v>
      </c>
      <c r="BI79" s="14">
        <f t="shared" si="46"/>
        <v>0</v>
      </c>
      <c r="BJ79" s="14">
        <f t="shared" si="47"/>
        <v>0</v>
      </c>
      <c r="BK79" s="14"/>
      <c r="BL79" s="14">
        <v>722</v>
      </c>
      <c r="BW79" s="14">
        <v>21</v>
      </c>
      <c r="BX79" s="4" t="s">
        <v>340</v>
      </c>
    </row>
    <row r="80" spans="1:76" ht="14.5" x14ac:dyDescent="0.35">
      <c r="A80" s="1" t="s">
        <v>341</v>
      </c>
      <c r="B80" s="2" t="s">
        <v>342</v>
      </c>
      <c r="C80" s="81" t="s">
        <v>785</v>
      </c>
      <c r="D80" s="75"/>
      <c r="E80" s="2" t="s">
        <v>232</v>
      </c>
      <c r="F80" s="14">
        <v>15</v>
      </c>
      <c r="G80" s="55">
        <v>0</v>
      </c>
      <c r="H80" s="14">
        <f t="shared" si="24"/>
        <v>0</v>
      </c>
      <c r="I80" s="14">
        <f t="shared" si="25"/>
        <v>0</v>
      </c>
      <c r="J80" s="56">
        <f t="shared" si="26"/>
        <v>0</v>
      </c>
      <c r="Z80" s="14">
        <f t="shared" si="27"/>
        <v>0</v>
      </c>
      <c r="AB80" s="14">
        <f t="shared" si="28"/>
        <v>0</v>
      </c>
      <c r="AC80" s="14">
        <f t="shared" si="29"/>
        <v>0</v>
      </c>
      <c r="AD80" s="14">
        <f t="shared" si="30"/>
        <v>0</v>
      </c>
      <c r="AE80" s="14">
        <f t="shared" si="31"/>
        <v>0</v>
      </c>
      <c r="AF80" s="14">
        <f t="shared" si="32"/>
        <v>0</v>
      </c>
      <c r="AG80" s="14">
        <f t="shared" si="33"/>
        <v>0</v>
      </c>
      <c r="AH80" s="14">
        <f t="shared" si="34"/>
        <v>0</v>
      </c>
      <c r="AI80" s="43" t="s">
        <v>19</v>
      </c>
      <c r="AJ80" s="14">
        <f t="shared" si="35"/>
        <v>0</v>
      </c>
      <c r="AK80" s="14">
        <f t="shared" si="36"/>
        <v>0</v>
      </c>
      <c r="AL80" s="14">
        <f t="shared" si="37"/>
        <v>0</v>
      </c>
      <c r="AN80" s="14">
        <v>21</v>
      </c>
      <c r="AO80" s="14">
        <f t="shared" si="38"/>
        <v>0</v>
      </c>
      <c r="AP80" s="14">
        <f t="shared" si="39"/>
        <v>0</v>
      </c>
      <c r="AQ80" s="13" t="s">
        <v>205</v>
      </c>
      <c r="AV80" s="14">
        <f t="shared" si="40"/>
        <v>0</v>
      </c>
      <c r="AW80" s="14">
        <f t="shared" si="41"/>
        <v>0</v>
      </c>
      <c r="AX80" s="14">
        <f t="shared" si="42"/>
        <v>0</v>
      </c>
      <c r="AY80" s="13" t="s">
        <v>314</v>
      </c>
      <c r="AZ80" s="13" t="s">
        <v>275</v>
      </c>
      <c r="BA80" s="43" t="s">
        <v>182</v>
      </c>
      <c r="BC80" s="14">
        <f t="shared" si="43"/>
        <v>0</v>
      </c>
      <c r="BD80" s="14">
        <f t="shared" si="44"/>
        <v>0</v>
      </c>
      <c r="BE80" s="14">
        <v>0</v>
      </c>
      <c r="BF80" s="14">
        <f>80</f>
        <v>80</v>
      </c>
      <c r="BH80" s="14">
        <f t="shared" si="45"/>
        <v>0</v>
      </c>
      <c r="BI80" s="14">
        <f t="shared" si="46"/>
        <v>0</v>
      </c>
      <c r="BJ80" s="14">
        <f t="shared" si="47"/>
        <v>0</v>
      </c>
      <c r="BK80" s="14"/>
      <c r="BL80" s="14">
        <v>722</v>
      </c>
      <c r="BW80" s="14">
        <v>21</v>
      </c>
      <c r="BX80" s="4" t="s">
        <v>343</v>
      </c>
    </row>
    <row r="81" spans="1:76" ht="14.5" x14ac:dyDescent="0.35">
      <c r="A81" s="1" t="s">
        <v>344</v>
      </c>
      <c r="B81" s="2" t="s">
        <v>345</v>
      </c>
      <c r="C81" s="81" t="s">
        <v>346</v>
      </c>
      <c r="D81" s="75"/>
      <c r="E81" s="2" t="s">
        <v>273</v>
      </c>
      <c r="F81" s="14">
        <v>81</v>
      </c>
      <c r="G81" s="55">
        <v>0</v>
      </c>
      <c r="H81" s="14">
        <f t="shared" si="24"/>
        <v>0</v>
      </c>
      <c r="I81" s="14">
        <f t="shared" si="25"/>
        <v>0</v>
      </c>
      <c r="J81" s="56">
        <f t="shared" si="26"/>
        <v>0</v>
      </c>
      <c r="Z81" s="14">
        <f t="shared" si="27"/>
        <v>0</v>
      </c>
      <c r="AB81" s="14">
        <f t="shared" si="28"/>
        <v>0</v>
      </c>
      <c r="AC81" s="14">
        <f t="shared" si="29"/>
        <v>0</v>
      </c>
      <c r="AD81" s="14">
        <f t="shared" si="30"/>
        <v>0</v>
      </c>
      <c r="AE81" s="14">
        <f t="shared" si="31"/>
        <v>0</v>
      </c>
      <c r="AF81" s="14">
        <f t="shared" si="32"/>
        <v>0</v>
      </c>
      <c r="AG81" s="14">
        <f t="shared" si="33"/>
        <v>0</v>
      </c>
      <c r="AH81" s="14">
        <f t="shared" si="34"/>
        <v>0</v>
      </c>
      <c r="AI81" s="43" t="s">
        <v>19</v>
      </c>
      <c r="AJ81" s="14">
        <f t="shared" si="35"/>
        <v>0</v>
      </c>
      <c r="AK81" s="14">
        <f t="shared" si="36"/>
        <v>0</v>
      </c>
      <c r="AL81" s="14">
        <f t="shared" si="37"/>
        <v>0</v>
      </c>
      <c r="AN81" s="14">
        <v>21</v>
      </c>
      <c r="AO81" s="14">
        <f t="shared" si="38"/>
        <v>0</v>
      </c>
      <c r="AP81" s="14">
        <f t="shared" si="39"/>
        <v>0</v>
      </c>
      <c r="AQ81" s="13" t="s">
        <v>205</v>
      </c>
      <c r="AV81" s="14">
        <f t="shared" si="40"/>
        <v>0</v>
      </c>
      <c r="AW81" s="14">
        <f t="shared" si="41"/>
        <v>0</v>
      </c>
      <c r="AX81" s="14">
        <f t="shared" si="42"/>
        <v>0</v>
      </c>
      <c r="AY81" s="13" t="s">
        <v>314</v>
      </c>
      <c r="AZ81" s="13" t="s">
        <v>275</v>
      </c>
      <c r="BA81" s="43" t="s">
        <v>182</v>
      </c>
      <c r="BC81" s="14">
        <f t="shared" si="43"/>
        <v>0</v>
      </c>
      <c r="BD81" s="14">
        <f t="shared" si="44"/>
        <v>0</v>
      </c>
      <c r="BE81" s="14">
        <v>0</v>
      </c>
      <c r="BF81" s="14">
        <f>81</f>
        <v>81</v>
      </c>
      <c r="BH81" s="14">
        <f t="shared" si="45"/>
        <v>0</v>
      </c>
      <c r="BI81" s="14">
        <f t="shared" si="46"/>
        <v>0</v>
      </c>
      <c r="BJ81" s="14">
        <f t="shared" si="47"/>
        <v>0</v>
      </c>
      <c r="BK81" s="14"/>
      <c r="BL81" s="14">
        <v>722</v>
      </c>
      <c r="BW81" s="14">
        <v>21</v>
      </c>
      <c r="BX81" s="4" t="s">
        <v>346</v>
      </c>
    </row>
    <row r="82" spans="1:76" ht="14.5" x14ac:dyDescent="0.35">
      <c r="A82" s="1" t="s">
        <v>347</v>
      </c>
      <c r="B82" s="2" t="s">
        <v>348</v>
      </c>
      <c r="C82" s="81" t="s">
        <v>349</v>
      </c>
      <c r="D82" s="75"/>
      <c r="E82" s="2" t="s">
        <v>232</v>
      </c>
      <c r="F82" s="14">
        <v>89</v>
      </c>
      <c r="G82" s="55">
        <v>0</v>
      </c>
      <c r="H82" s="14">
        <f t="shared" si="24"/>
        <v>0</v>
      </c>
      <c r="I82" s="14">
        <f t="shared" si="25"/>
        <v>0</v>
      </c>
      <c r="J82" s="56">
        <f t="shared" si="26"/>
        <v>0</v>
      </c>
      <c r="Z82" s="14">
        <f t="shared" si="27"/>
        <v>0</v>
      </c>
      <c r="AB82" s="14">
        <f t="shared" si="28"/>
        <v>0</v>
      </c>
      <c r="AC82" s="14">
        <f t="shared" si="29"/>
        <v>0</v>
      </c>
      <c r="AD82" s="14">
        <f t="shared" si="30"/>
        <v>0</v>
      </c>
      <c r="AE82" s="14">
        <f t="shared" si="31"/>
        <v>0</v>
      </c>
      <c r="AF82" s="14">
        <f t="shared" si="32"/>
        <v>0</v>
      </c>
      <c r="AG82" s="14">
        <f t="shared" si="33"/>
        <v>0</v>
      </c>
      <c r="AH82" s="14">
        <f t="shared" si="34"/>
        <v>0</v>
      </c>
      <c r="AI82" s="43" t="s">
        <v>19</v>
      </c>
      <c r="AJ82" s="14">
        <f t="shared" si="35"/>
        <v>0</v>
      </c>
      <c r="AK82" s="14">
        <f t="shared" si="36"/>
        <v>0</v>
      </c>
      <c r="AL82" s="14">
        <f t="shared" si="37"/>
        <v>0</v>
      </c>
      <c r="AN82" s="14">
        <v>21</v>
      </c>
      <c r="AO82" s="14">
        <f t="shared" si="38"/>
        <v>0</v>
      </c>
      <c r="AP82" s="14">
        <f t="shared" si="39"/>
        <v>0</v>
      </c>
      <c r="AQ82" s="13" t="s">
        <v>205</v>
      </c>
      <c r="AV82" s="14">
        <f t="shared" si="40"/>
        <v>0</v>
      </c>
      <c r="AW82" s="14">
        <f t="shared" si="41"/>
        <v>0</v>
      </c>
      <c r="AX82" s="14">
        <f t="shared" si="42"/>
        <v>0</v>
      </c>
      <c r="AY82" s="13" t="s">
        <v>314</v>
      </c>
      <c r="AZ82" s="13" t="s">
        <v>275</v>
      </c>
      <c r="BA82" s="43" t="s">
        <v>182</v>
      </c>
      <c r="BC82" s="14">
        <f t="shared" si="43"/>
        <v>0</v>
      </c>
      <c r="BD82" s="14">
        <f t="shared" si="44"/>
        <v>0</v>
      </c>
      <c r="BE82" s="14">
        <v>0</v>
      </c>
      <c r="BF82" s="14">
        <f>82</f>
        <v>82</v>
      </c>
      <c r="BH82" s="14">
        <f t="shared" si="45"/>
        <v>0</v>
      </c>
      <c r="BI82" s="14">
        <f t="shared" si="46"/>
        <v>0</v>
      </c>
      <c r="BJ82" s="14">
        <f t="shared" si="47"/>
        <v>0</v>
      </c>
      <c r="BK82" s="14"/>
      <c r="BL82" s="14">
        <v>722</v>
      </c>
      <c r="BW82" s="14">
        <v>21</v>
      </c>
      <c r="BX82" s="4" t="s">
        <v>349</v>
      </c>
    </row>
    <row r="83" spans="1:76" ht="14.5" x14ac:dyDescent="0.35">
      <c r="A83" s="1" t="s">
        <v>350</v>
      </c>
      <c r="B83" s="2" t="s">
        <v>348</v>
      </c>
      <c r="C83" s="81" t="s">
        <v>351</v>
      </c>
      <c r="D83" s="75"/>
      <c r="E83" s="2" t="s">
        <v>232</v>
      </c>
      <c r="F83" s="14">
        <v>89</v>
      </c>
      <c r="G83" s="55">
        <v>0</v>
      </c>
      <c r="H83" s="14">
        <f t="shared" si="24"/>
        <v>0</v>
      </c>
      <c r="I83" s="14">
        <f t="shared" si="25"/>
        <v>0</v>
      </c>
      <c r="J83" s="56">
        <f t="shared" si="26"/>
        <v>0</v>
      </c>
      <c r="Z83" s="14">
        <f t="shared" si="27"/>
        <v>0</v>
      </c>
      <c r="AB83" s="14">
        <f t="shared" si="28"/>
        <v>0</v>
      </c>
      <c r="AC83" s="14">
        <f t="shared" si="29"/>
        <v>0</v>
      </c>
      <c r="AD83" s="14">
        <f t="shared" si="30"/>
        <v>0</v>
      </c>
      <c r="AE83" s="14">
        <f t="shared" si="31"/>
        <v>0</v>
      </c>
      <c r="AF83" s="14">
        <f t="shared" si="32"/>
        <v>0</v>
      </c>
      <c r="AG83" s="14">
        <f t="shared" si="33"/>
        <v>0</v>
      </c>
      <c r="AH83" s="14">
        <f t="shared" si="34"/>
        <v>0</v>
      </c>
      <c r="AI83" s="43" t="s">
        <v>19</v>
      </c>
      <c r="AJ83" s="14">
        <f t="shared" si="35"/>
        <v>0</v>
      </c>
      <c r="AK83" s="14">
        <f t="shared" si="36"/>
        <v>0</v>
      </c>
      <c r="AL83" s="14">
        <f t="shared" si="37"/>
        <v>0</v>
      </c>
      <c r="AN83" s="14">
        <v>21</v>
      </c>
      <c r="AO83" s="14">
        <f t="shared" si="38"/>
        <v>0</v>
      </c>
      <c r="AP83" s="14">
        <f t="shared" si="39"/>
        <v>0</v>
      </c>
      <c r="AQ83" s="13" t="s">
        <v>205</v>
      </c>
      <c r="AV83" s="14">
        <f t="shared" si="40"/>
        <v>0</v>
      </c>
      <c r="AW83" s="14">
        <f t="shared" si="41"/>
        <v>0</v>
      </c>
      <c r="AX83" s="14">
        <f t="shared" si="42"/>
        <v>0</v>
      </c>
      <c r="AY83" s="13" t="s">
        <v>314</v>
      </c>
      <c r="AZ83" s="13" t="s">
        <v>275</v>
      </c>
      <c r="BA83" s="43" t="s">
        <v>182</v>
      </c>
      <c r="BC83" s="14">
        <f t="shared" si="43"/>
        <v>0</v>
      </c>
      <c r="BD83" s="14">
        <f t="shared" si="44"/>
        <v>0</v>
      </c>
      <c r="BE83" s="14">
        <v>0</v>
      </c>
      <c r="BF83" s="14">
        <f>83</f>
        <v>83</v>
      </c>
      <c r="BH83" s="14">
        <f t="shared" si="45"/>
        <v>0</v>
      </c>
      <c r="BI83" s="14">
        <f t="shared" si="46"/>
        <v>0</v>
      </c>
      <c r="BJ83" s="14">
        <f t="shared" si="47"/>
        <v>0</v>
      </c>
      <c r="BK83" s="14"/>
      <c r="BL83" s="14">
        <v>722</v>
      </c>
      <c r="BW83" s="14">
        <v>21</v>
      </c>
      <c r="BX83" s="4" t="s">
        <v>351</v>
      </c>
    </row>
    <row r="84" spans="1:76" ht="14.5" x14ac:dyDescent="0.35">
      <c r="A84" s="1" t="s">
        <v>352</v>
      </c>
      <c r="B84" s="2" t="s">
        <v>353</v>
      </c>
      <c r="C84" s="81" t="s">
        <v>354</v>
      </c>
      <c r="D84" s="75"/>
      <c r="E84" s="2" t="s">
        <v>300</v>
      </c>
      <c r="F84" s="14">
        <v>1</v>
      </c>
      <c r="G84" s="55">
        <v>0</v>
      </c>
      <c r="H84" s="14">
        <f t="shared" si="24"/>
        <v>0</v>
      </c>
      <c r="I84" s="14">
        <f t="shared" si="25"/>
        <v>0</v>
      </c>
      <c r="J84" s="56">
        <f t="shared" si="26"/>
        <v>0</v>
      </c>
      <c r="Z84" s="14">
        <f t="shared" si="27"/>
        <v>0</v>
      </c>
      <c r="AB84" s="14">
        <f t="shared" si="28"/>
        <v>0</v>
      </c>
      <c r="AC84" s="14">
        <f t="shared" si="29"/>
        <v>0</v>
      </c>
      <c r="AD84" s="14">
        <f t="shared" si="30"/>
        <v>0</v>
      </c>
      <c r="AE84" s="14">
        <f t="shared" si="31"/>
        <v>0</v>
      </c>
      <c r="AF84" s="14">
        <f t="shared" si="32"/>
        <v>0</v>
      </c>
      <c r="AG84" s="14">
        <f t="shared" si="33"/>
        <v>0</v>
      </c>
      <c r="AH84" s="14">
        <f t="shared" si="34"/>
        <v>0</v>
      </c>
      <c r="AI84" s="43" t="s">
        <v>19</v>
      </c>
      <c r="AJ84" s="14">
        <f t="shared" si="35"/>
        <v>0</v>
      </c>
      <c r="AK84" s="14">
        <f t="shared" si="36"/>
        <v>0</v>
      </c>
      <c r="AL84" s="14">
        <f t="shared" si="37"/>
        <v>0</v>
      </c>
      <c r="AN84" s="14">
        <v>21</v>
      </c>
      <c r="AO84" s="14">
        <f t="shared" si="38"/>
        <v>0</v>
      </c>
      <c r="AP84" s="14">
        <f t="shared" si="39"/>
        <v>0</v>
      </c>
      <c r="AQ84" s="13" t="s">
        <v>205</v>
      </c>
      <c r="AV84" s="14">
        <f t="shared" si="40"/>
        <v>0</v>
      </c>
      <c r="AW84" s="14">
        <f t="shared" si="41"/>
        <v>0</v>
      </c>
      <c r="AX84" s="14">
        <f t="shared" si="42"/>
        <v>0</v>
      </c>
      <c r="AY84" s="13" t="s">
        <v>314</v>
      </c>
      <c r="AZ84" s="13" t="s">
        <v>275</v>
      </c>
      <c r="BA84" s="43" t="s">
        <v>182</v>
      </c>
      <c r="BC84" s="14">
        <f t="shared" si="43"/>
        <v>0</v>
      </c>
      <c r="BD84" s="14">
        <f t="shared" si="44"/>
        <v>0</v>
      </c>
      <c r="BE84" s="14">
        <v>0</v>
      </c>
      <c r="BF84" s="14">
        <f>84</f>
        <v>84</v>
      </c>
      <c r="BH84" s="14">
        <f t="shared" si="45"/>
        <v>0</v>
      </c>
      <c r="BI84" s="14">
        <f t="shared" si="46"/>
        <v>0</v>
      </c>
      <c r="BJ84" s="14">
        <f t="shared" si="47"/>
        <v>0</v>
      </c>
      <c r="BK84" s="14"/>
      <c r="BL84" s="14">
        <v>722</v>
      </c>
      <c r="BW84" s="14">
        <v>21</v>
      </c>
      <c r="BX84" s="4" t="s">
        <v>354</v>
      </c>
    </row>
    <row r="85" spans="1:76" ht="14.5" x14ac:dyDescent="0.35">
      <c r="A85" s="60" t="s">
        <v>19</v>
      </c>
      <c r="B85" s="61" t="s">
        <v>41</v>
      </c>
      <c r="C85" s="165" t="s">
        <v>42</v>
      </c>
      <c r="D85" s="166"/>
      <c r="E85" s="62" t="s">
        <v>3</v>
      </c>
      <c r="F85" s="62" t="s">
        <v>3</v>
      </c>
      <c r="G85" s="69" t="s">
        <v>3</v>
      </c>
      <c r="H85" s="38">
        <f>SUM(H86:H108)</f>
        <v>0</v>
      </c>
      <c r="I85" s="38">
        <f>SUM(I86:I108)</f>
        <v>0</v>
      </c>
      <c r="J85" s="64">
        <f>SUM(J86:J108)</f>
        <v>0</v>
      </c>
      <c r="AI85" s="43" t="s">
        <v>19</v>
      </c>
      <c r="AS85" s="38">
        <f>SUM(AJ86:AJ108)</f>
        <v>0</v>
      </c>
      <c r="AT85" s="38">
        <f>SUM(AK86:AK108)</f>
        <v>0</v>
      </c>
      <c r="AU85" s="38">
        <f>SUM(AL86:AL108)</f>
        <v>0</v>
      </c>
    </row>
    <row r="86" spans="1:76" ht="14.5" x14ac:dyDescent="0.35">
      <c r="A86" s="1" t="s">
        <v>355</v>
      </c>
      <c r="B86" s="2" t="s">
        <v>356</v>
      </c>
      <c r="C86" s="81" t="s">
        <v>357</v>
      </c>
      <c r="D86" s="75"/>
      <c r="E86" s="2" t="s">
        <v>215</v>
      </c>
      <c r="F86" s="14">
        <v>1</v>
      </c>
      <c r="G86" s="55">
        <v>0</v>
      </c>
      <c r="H86" s="14">
        <f t="shared" ref="H86:H106" si="48">F86*AO86</f>
        <v>0</v>
      </c>
      <c r="I86" s="14">
        <f t="shared" ref="I86:I106" si="49">F86*AP86</f>
        <v>0</v>
      </c>
      <c r="J86" s="56">
        <f t="shared" ref="J86:J106" si="50">F86*G86</f>
        <v>0</v>
      </c>
      <c r="Z86" s="14">
        <f t="shared" ref="Z86:Z106" si="51">IF(AQ86="5",BJ86,0)</f>
        <v>0</v>
      </c>
      <c r="AB86" s="14">
        <f t="shared" ref="AB86:AB106" si="52">IF(AQ86="1",BH86,0)</f>
        <v>0</v>
      </c>
      <c r="AC86" s="14">
        <f t="shared" ref="AC86:AC106" si="53">IF(AQ86="1",BI86,0)</f>
        <v>0</v>
      </c>
      <c r="AD86" s="14">
        <f t="shared" ref="AD86:AD106" si="54">IF(AQ86="7",BH86,0)</f>
        <v>0</v>
      </c>
      <c r="AE86" s="14">
        <f t="shared" ref="AE86:AE106" si="55">IF(AQ86="7",BI86,0)</f>
        <v>0</v>
      </c>
      <c r="AF86" s="14">
        <f t="shared" ref="AF86:AF106" si="56">IF(AQ86="2",BH86,0)</f>
        <v>0</v>
      </c>
      <c r="AG86" s="14">
        <f t="shared" ref="AG86:AG106" si="57">IF(AQ86="2",BI86,0)</f>
        <v>0</v>
      </c>
      <c r="AH86" s="14">
        <f t="shared" ref="AH86:AH106" si="58">IF(AQ86="0",BJ86,0)</f>
        <v>0</v>
      </c>
      <c r="AI86" s="43" t="s">
        <v>19</v>
      </c>
      <c r="AJ86" s="14">
        <f t="shared" ref="AJ86:AJ106" si="59">IF(AN86=0,J86,0)</f>
        <v>0</v>
      </c>
      <c r="AK86" s="14">
        <f t="shared" ref="AK86:AK106" si="60">IF(AN86=12,J86,0)</f>
        <v>0</v>
      </c>
      <c r="AL86" s="14">
        <f t="shared" ref="AL86:AL106" si="61">IF(AN86=21,J86,0)</f>
        <v>0</v>
      </c>
      <c r="AN86" s="14">
        <v>21</v>
      </c>
      <c r="AO86" s="14">
        <f t="shared" ref="AO86:AO106" si="62">G86*0</f>
        <v>0</v>
      </c>
      <c r="AP86" s="14">
        <f t="shared" ref="AP86:AP106" si="63">G86*(1-0)</f>
        <v>0</v>
      </c>
      <c r="AQ86" s="13" t="s">
        <v>205</v>
      </c>
      <c r="AV86" s="14">
        <f t="shared" ref="AV86:AV106" si="64">AW86+AX86</f>
        <v>0</v>
      </c>
      <c r="AW86" s="14">
        <f t="shared" ref="AW86:AW106" si="65">F86*AO86</f>
        <v>0</v>
      </c>
      <c r="AX86" s="14">
        <f t="shared" ref="AX86:AX106" si="66">F86*AP86</f>
        <v>0</v>
      </c>
      <c r="AY86" s="13" t="s">
        <v>358</v>
      </c>
      <c r="AZ86" s="13" t="s">
        <v>275</v>
      </c>
      <c r="BA86" s="43" t="s">
        <v>182</v>
      </c>
      <c r="BC86" s="14">
        <f t="shared" ref="BC86:BC106" si="67">AW86+AX86</f>
        <v>0</v>
      </c>
      <c r="BD86" s="14">
        <f t="shared" ref="BD86:BD106" si="68">G86/(100-BE86)*100</f>
        <v>0</v>
      </c>
      <c r="BE86" s="14">
        <v>0</v>
      </c>
      <c r="BF86" s="14">
        <f>86</f>
        <v>86</v>
      </c>
      <c r="BH86" s="14">
        <f t="shared" ref="BH86:BH106" si="69">F86*AO86</f>
        <v>0</v>
      </c>
      <c r="BI86" s="14">
        <f t="shared" ref="BI86:BI106" si="70">F86*AP86</f>
        <v>0</v>
      </c>
      <c r="BJ86" s="14">
        <f t="shared" ref="BJ86:BJ106" si="71">F86*G86</f>
        <v>0</v>
      </c>
      <c r="BK86" s="14"/>
      <c r="BL86" s="14">
        <v>725</v>
      </c>
      <c r="BW86" s="14">
        <v>21</v>
      </c>
      <c r="BX86" s="4" t="s">
        <v>357</v>
      </c>
    </row>
    <row r="87" spans="1:76" ht="14.5" x14ac:dyDescent="0.35">
      <c r="A87" s="1" t="s">
        <v>359</v>
      </c>
      <c r="B87" s="2" t="s">
        <v>360</v>
      </c>
      <c r="C87" s="81" t="s">
        <v>361</v>
      </c>
      <c r="D87" s="75"/>
      <c r="E87" s="2" t="s">
        <v>215</v>
      </c>
      <c r="F87" s="14">
        <v>3</v>
      </c>
      <c r="G87" s="55">
        <v>0</v>
      </c>
      <c r="H87" s="14">
        <f t="shared" si="48"/>
        <v>0</v>
      </c>
      <c r="I87" s="14">
        <f t="shared" si="49"/>
        <v>0</v>
      </c>
      <c r="J87" s="56">
        <f t="shared" si="50"/>
        <v>0</v>
      </c>
      <c r="Z87" s="14">
        <f t="shared" si="51"/>
        <v>0</v>
      </c>
      <c r="AB87" s="14">
        <f t="shared" si="52"/>
        <v>0</v>
      </c>
      <c r="AC87" s="14">
        <f t="shared" si="53"/>
        <v>0</v>
      </c>
      <c r="AD87" s="14">
        <f t="shared" si="54"/>
        <v>0</v>
      </c>
      <c r="AE87" s="14">
        <f t="shared" si="55"/>
        <v>0</v>
      </c>
      <c r="AF87" s="14">
        <f t="shared" si="56"/>
        <v>0</v>
      </c>
      <c r="AG87" s="14">
        <f t="shared" si="57"/>
        <v>0</v>
      </c>
      <c r="AH87" s="14">
        <f t="shared" si="58"/>
        <v>0</v>
      </c>
      <c r="AI87" s="43" t="s">
        <v>19</v>
      </c>
      <c r="AJ87" s="14">
        <f t="shared" si="59"/>
        <v>0</v>
      </c>
      <c r="AK87" s="14">
        <f t="shared" si="60"/>
        <v>0</v>
      </c>
      <c r="AL87" s="14">
        <f t="shared" si="61"/>
        <v>0</v>
      </c>
      <c r="AN87" s="14">
        <v>21</v>
      </c>
      <c r="AO87" s="14">
        <f t="shared" si="62"/>
        <v>0</v>
      </c>
      <c r="AP87" s="14">
        <f t="shared" si="63"/>
        <v>0</v>
      </c>
      <c r="AQ87" s="13" t="s">
        <v>205</v>
      </c>
      <c r="AV87" s="14">
        <f t="shared" si="64"/>
        <v>0</v>
      </c>
      <c r="AW87" s="14">
        <f t="shared" si="65"/>
        <v>0</v>
      </c>
      <c r="AX87" s="14">
        <f t="shared" si="66"/>
        <v>0</v>
      </c>
      <c r="AY87" s="13" t="s">
        <v>358</v>
      </c>
      <c r="AZ87" s="13" t="s">
        <v>275</v>
      </c>
      <c r="BA87" s="43" t="s">
        <v>182</v>
      </c>
      <c r="BC87" s="14">
        <f t="shared" si="67"/>
        <v>0</v>
      </c>
      <c r="BD87" s="14">
        <f t="shared" si="68"/>
        <v>0</v>
      </c>
      <c r="BE87" s="14">
        <v>0</v>
      </c>
      <c r="BF87" s="14">
        <f>87</f>
        <v>87</v>
      </c>
      <c r="BH87" s="14">
        <f t="shared" si="69"/>
        <v>0</v>
      </c>
      <c r="BI87" s="14">
        <f t="shared" si="70"/>
        <v>0</v>
      </c>
      <c r="BJ87" s="14">
        <f t="shared" si="71"/>
        <v>0</v>
      </c>
      <c r="BK87" s="14"/>
      <c r="BL87" s="14">
        <v>725</v>
      </c>
      <c r="BW87" s="14">
        <v>21</v>
      </c>
      <c r="BX87" s="4" t="s">
        <v>361</v>
      </c>
    </row>
    <row r="88" spans="1:76" ht="14.5" x14ac:dyDescent="0.35">
      <c r="A88" s="1" t="s">
        <v>362</v>
      </c>
      <c r="B88" s="2" t="s">
        <v>363</v>
      </c>
      <c r="C88" s="81" t="s">
        <v>364</v>
      </c>
      <c r="D88" s="75"/>
      <c r="E88" s="2" t="s">
        <v>215</v>
      </c>
      <c r="F88" s="14">
        <v>4</v>
      </c>
      <c r="G88" s="55">
        <v>0</v>
      </c>
      <c r="H88" s="14">
        <f t="shared" si="48"/>
        <v>0</v>
      </c>
      <c r="I88" s="14">
        <f t="shared" si="49"/>
        <v>0</v>
      </c>
      <c r="J88" s="56">
        <f t="shared" si="50"/>
        <v>0</v>
      </c>
      <c r="Z88" s="14">
        <f t="shared" si="51"/>
        <v>0</v>
      </c>
      <c r="AB88" s="14">
        <f t="shared" si="52"/>
        <v>0</v>
      </c>
      <c r="AC88" s="14">
        <f t="shared" si="53"/>
        <v>0</v>
      </c>
      <c r="AD88" s="14">
        <f t="shared" si="54"/>
        <v>0</v>
      </c>
      <c r="AE88" s="14">
        <f t="shared" si="55"/>
        <v>0</v>
      </c>
      <c r="AF88" s="14">
        <f t="shared" si="56"/>
        <v>0</v>
      </c>
      <c r="AG88" s="14">
        <f t="shared" si="57"/>
        <v>0</v>
      </c>
      <c r="AH88" s="14">
        <f t="shared" si="58"/>
        <v>0</v>
      </c>
      <c r="AI88" s="43" t="s">
        <v>19</v>
      </c>
      <c r="AJ88" s="14">
        <f t="shared" si="59"/>
        <v>0</v>
      </c>
      <c r="AK88" s="14">
        <f t="shared" si="60"/>
        <v>0</v>
      </c>
      <c r="AL88" s="14">
        <f t="shared" si="61"/>
        <v>0</v>
      </c>
      <c r="AN88" s="14">
        <v>21</v>
      </c>
      <c r="AO88" s="14">
        <f t="shared" si="62"/>
        <v>0</v>
      </c>
      <c r="AP88" s="14">
        <f t="shared" si="63"/>
        <v>0</v>
      </c>
      <c r="AQ88" s="13" t="s">
        <v>205</v>
      </c>
      <c r="AV88" s="14">
        <f t="shared" si="64"/>
        <v>0</v>
      </c>
      <c r="AW88" s="14">
        <f t="shared" si="65"/>
        <v>0</v>
      </c>
      <c r="AX88" s="14">
        <f t="shared" si="66"/>
        <v>0</v>
      </c>
      <c r="AY88" s="13" t="s">
        <v>358</v>
      </c>
      <c r="AZ88" s="13" t="s">
        <v>275</v>
      </c>
      <c r="BA88" s="43" t="s">
        <v>182</v>
      </c>
      <c r="BC88" s="14">
        <f t="shared" si="67"/>
        <v>0</v>
      </c>
      <c r="BD88" s="14">
        <f t="shared" si="68"/>
        <v>0</v>
      </c>
      <c r="BE88" s="14">
        <v>0</v>
      </c>
      <c r="BF88" s="14">
        <f>88</f>
        <v>88</v>
      </c>
      <c r="BH88" s="14">
        <f t="shared" si="69"/>
        <v>0</v>
      </c>
      <c r="BI88" s="14">
        <f t="shared" si="70"/>
        <v>0</v>
      </c>
      <c r="BJ88" s="14">
        <f t="shared" si="71"/>
        <v>0</v>
      </c>
      <c r="BK88" s="14"/>
      <c r="BL88" s="14">
        <v>725</v>
      </c>
      <c r="BW88" s="14">
        <v>21</v>
      </c>
      <c r="BX88" s="4" t="s">
        <v>364</v>
      </c>
    </row>
    <row r="89" spans="1:76" ht="14.5" x14ac:dyDescent="0.35">
      <c r="A89" s="1" t="s">
        <v>365</v>
      </c>
      <c r="B89" s="2" t="s">
        <v>366</v>
      </c>
      <c r="C89" s="81" t="s">
        <v>367</v>
      </c>
      <c r="D89" s="75"/>
      <c r="E89" s="2" t="s">
        <v>273</v>
      </c>
      <c r="F89" s="14">
        <v>2</v>
      </c>
      <c r="G89" s="55">
        <v>0</v>
      </c>
      <c r="H89" s="14">
        <f t="shared" si="48"/>
        <v>0</v>
      </c>
      <c r="I89" s="14">
        <f t="shared" si="49"/>
        <v>0</v>
      </c>
      <c r="J89" s="56">
        <f t="shared" si="50"/>
        <v>0</v>
      </c>
      <c r="Z89" s="14">
        <f t="shared" si="51"/>
        <v>0</v>
      </c>
      <c r="AB89" s="14">
        <f t="shared" si="52"/>
        <v>0</v>
      </c>
      <c r="AC89" s="14">
        <f t="shared" si="53"/>
        <v>0</v>
      </c>
      <c r="AD89" s="14">
        <f t="shared" si="54"/>
        <v>0</v>
      </c>
      <c r="AE89" s="14">
        <f t="shared" si="55"/>
        <v>0</v>
      </c>
      <c r="AF89" s="14">
        <f t="shared" si="56"/>
        <v>0</v>
      </c>
      <c r="AG89" s="14">
        <f t="shared" si="57"/>
        <v>0</v>
      </c>
      <c r="AH89" s="14">
        <f t="shared" si="58"/>
        <v>0</v>
      </c>
      <c r="AI89" s="43" t="s">
        <v>19</v>
      </c>
      <c r="AJ89" s="14">
        <f t="shared" si="59"/>
        <v>0</v>
      </c>
      <c r="AK89" s="14">
        <f t="shared" si="60"/>
        <v>0</v>
      </c>
      <c r="AL89" s="14">
        <f t="shared" si="61"/>
        <v>0</v>
      </c>
      <c r="AN89" s="14">
        <v>21</v>
      </c>
      <c r="AO89" s="14">
        <f t="shared" si="62"/>
        <v>0</v>
      </c>
      <c r="AP89" s="14">
        <f t="shared" si="63"/>
        <v>0</v>
      </c>
      <c r="AQ89" s="13" t="s">
        <v>205</v>
      </c>
      <c r="AV89" s="14">
        <f t="shared" si="64"/>
        <v>0</v>
      </c>
      <c r="AW89" s="14">
        <f t="shared" si="65"/>
        <v>0</v>
      </c>
      <c r="AX89" s="14">
        <f t="shared" si="66"/>
        <v>0</v>
      </c>
      <c r="AY89" s="13" t="s">
        <v>358</v>
      </c>
      <c r="AZ89" s="13" t="s">
        <v>275</v>
      </c>
      <c r="BA89" s="43" t="s">
        <v>182</v>
      </c>
      <c r="BC89" s="14">
        <f t="shared" si="67"/>
        <v>0</v>
      </c>
      <c r="BD89" s="14">
        <f t="shared" si="68"/>
        <v>0</v>
      </c>
      <c r="BE89" s="14">
        <v>0</v>
      </c>
      <c r="BF89" s="14">
        <f>89</f>
        <v>89</v>
      </c>
      <c r="BH89" s="14">
        <f t="shared" si="69"/>
        <v>0</v>
      </c>
      <c r="BI89" s="14">
        <f t="shared" si="70"/>
        <v>0</v>
      </c>
      <c r="BJ89" s="14">
        <f t="shared" si="71"/>
        <v>0</v>
      </c>
      <c r="BK89" s="14"/>
      <c r="BL89" s="14">
        <v>725</v>
      </c>
      <c r="BW89" s="14">
        <v>21</v>
      </c>
      <c r="BX89" s="4" t="s">
        <v>367</v>
      </c>
    </row>
    <row r="90" spans="1:76" ht="14.5" x14ac:dyDescent="0.35">
      <c r="A90" s="1" t="s">
        <v>368</v>
      </c>
      <c r="B90" s="2" t="s">
        <v>369</v>
      </c>
      <c r="C90" s="81" t="s">
        <v>370</v>
      </c>
      <c r="D90" s="75"/>
      <c r="E90" s="2" t="s">
        <v>371</v>
      </c>
      <c r="F90" s="14">
        <v>2</v>
      </c>
      <c r="G90" s="55">
        <v>0</v>
      </c>
      <c r="H90" s="14">
        <f t="shared" si="48"/>
        <v>0</v>
      </c>
      <c r="I90" s="14">
        <f t="shared" si="49"/>
        <v>0</v>
      </c>
      <c r="J90" s="56">
        <f t="shared" si="50"/>
        <v>0</v>
      </c>
      <c r="Z90" s="14">
        <f t="shared" si="51"/>
        <v>0</v>
      </c>
      <c r="AB90" s="14">
        <f t="shared" si="52"/>
        <v>0</v>
      </c>
      <c r="AC90" s="14">
        <f t="shared" si="53"/>
        <v>0</v>
      </c>
      <c r="AD90" s="14">
        <f t="shared" si="54"/>
        <v>0</v>
      </c>
      <c r="AE90" s="14">
        <f t="shared" si="55"/>
        <v>0</v>
      </c>
      <c r="AF90" s="14">
        <f t="shared" si="56"/>
        <v>0</v>
      </c>
      <c r="AG90" s="14">
        <f t="shared" si="57"/>
        <v>0</v>
      </c>
      <c r="AH90" s="14">
        <f t="shared" si="58"/>
        <v>0</v>
      </c>
      <c r="AI90" s="43" t="s">
        <v>19</v>
      </c>
      <c r="AJ90" s="14">
        <f t="shared" si="59"/>
        <v>0</v>
      </c>
      <c r="AK90" s="14">
        <f t="shared" si="60"/>
        <v>0</v>
      </c>
      <c r="AL90" s="14">
        <f t="shared" si="61"/>
        <v>0</v>
      </c>
      <c r="AN90" s="14">
        <v>21</v>
      </c>
      <c r="AO90" s="14">
        <f t="shared" si="62"/>
        <v>0</v>
      </c>
      <c r="AP90" s="14">
        <f t="shared" si="63"/>
        <v>0</v>
      </c>
      <c r="AQ90" s="13" t="s">
        <v>205</v>
      </c>
      <c r="AV90" s="14">
        <f t="shared" si="64"/>
        <v>0</v>
      </c>
      <c r="AW90" s="14">
        <f t="shared" si="65"/>
        <v>0</v>
      </c>
      <c r="AX90" s="14">
        <f t="shared" si="66"/>
        <v>0</v>
      </c>
      <c r="AY90" s="13" t="s">
        <v>358</v>
      </c>
      <c r="AZ90" s="13" t="s">
        <v>275</v>
      </c>
      <c r="BA90" s="43" t="s">
        <v>182</v>
      </c>
      <c r="BC90" s="14">
        <f t="shared" si="67"/>
        <v>0</v>
      </c>
      <c r="BD90" s="14">
        <f t="shared" si="68"/>
        <v>0</v>
      </c>
      <c r="BE90" s="14">
        <v>0</v>
      </c>
      <c r="BF90" s="14">
        <f>90</f>
        <v>90</v>
      </c>
      <c r="BH90" s="14">
        <f t="shared" si="69"/>
        <v>0</v>
      </c>
      <c r="BI90" s="14">
        <f t="shared" si="70"/>
        <v>0</v>
      </c>
      <c r="BJ90" s="14">
        <f t="shared" si="71"/>
        <v>0</v>
      </c>
      <c r="BK90" s="14"/>
      <c r="BL90" s="14">
        <v>725</v>
      </c>
      <c r="BW90" s="14">
        <v>21</v>
      </c>
      <c r="BX90" s="4" t="s">
        <v>370</v>
      </c>
    </row>
    <row r="91" spans="1:76" ht="14.5" x14ac:dyDescent="0.35">
      <c r="A91" s="1" t="s">
        <v>372</v>
      </c>
      <c r="B91" s="2" t="s">
        <v>373</v>
      </c>
      <c r="C91" s="81" t="s">
        <v>374</v>
      </c>
      <c r="D91" s="75"/>
      <c r="E91" s="2" t="s">
        <v>273</v>
      </c>
      <c r="F91" s="14">
        <v>4</v>
      </c>
      <c r="G91" s="55">
        <v>0</v>
      </c>
      <c r="H91" s="14">
        <f t="shared" si="48"/>
        <v>0</v>
      </c>
      <c r="I91" s="14">
        <f t="shared" si="49"/>
        <v>0</v>
      </c>
      <c r="J91" s="56">
        <f t="shared" si="50"/>
        <v>0</v>
      </c>
      <c r="Z91" s="14">
        <f t="shared" si="51"/>
        <v>0</v>
      </c>
      <c r="AB91" s="14">
        <f t="shared" si="52"/>
        <v>0</v>
      </c>
      <c r="AC91" s="14">
        <f t="shared" si="53"/>
        <v>0</v>
      </c>
      <c r="AD91" s="14">
        <f t="shared" si="54"/>
        <v>0</v>
      </c>
      <c r="AE91" s="14">
        <f t="shared" si="55"/>
        <v>0</v>
      </c>
      <c r="AF91" s="14">
        <f t="shared" si="56"/>
        <v>0</v>
      </c>
      <c r="AG91" s="14">
        <f t="shared" si="57"/>
        <v>0</v>
      </c>
      <c r="AH91" s="14">
        <f t="shared" si="58"/>
        <v>0</v>
      </c>
      <c r="AI91" s="43" t="s">
        <v>19</v>
      </c>
      <c r="AJ91" s="14">
        <f t="shared" si="59"/>
        <v>0</v>
      </c>
      <c r="AK91" s="14">
        <f t="shared" si="60"/>
        <v>0</v>
      </c>
      <c r="AL91" s="14">
        <f t="shared" si="61"/>
        <v>0</v>
      </c>
      <c r="AN91" s="14">
        <v>21</v>
      </c>
      <c r="AO91" s="14">
        <f t="shared" si="62"/>
        <v>0</v>
      </c>
      <c r="AP91" s="14">
        <f t="shared" si="63"/>
        <v>0</v>
      </c>
      <c r="AQ91" s="13" t="s">
        <v>205</v>
      </c>
      <c r="AV91" s="14">
        <f t="shared" si="64"/>
        <v>0</v>
      </c>
      <c r="AW91" s="14">
        <f t="shared" si="65"/>
        <v>0</v>
      </c>
      <c r="AX91" s="14">
        <f t="shared" si="66"/>
        <v>0</v>
      </c>
      <c r="AY91" s="13" t="s">
        <v>358</v>
      </c>
      <c r="AZ91" s="13" t="s">
        <v>275</v>
      </c>
      <c r="BA91" s="43" t="s">
        <v>182</v>
      </c>
      <c r="BC91" s="14">
        <f t="shared" si="67"/>
        <v>0</v>
      </c>
      <c r="BD91" s="14">
        <f t="shared" si="68"/>
        <v>0</v>
      </c>
      <c r="BE91" s="14">
        <v>0</v>
      </c>
      <c r="BF91" s="14">
        <f>91</f>
        <v>91</v>
      </c>
      <c r="BH91" s="14">
        <f t="shared" si="69"/>
        <v>0</v>
      </c>
      <c r="BI91" s="14">
        <f t="shared" si="70"/>
        <v>0</v>
      </c>
      <c r="BJ91" s="14">
        <f t="shared" si="71"/>
        <v>0</v>
      </c>
      <c r="BK91" s="14"/>
      <c r="BL91" s="14">
        <v>725</v>
      </c>
      <c r="BW91" s="14">
        <v>21</v>
      </c>
      <c r="BX91" s="4" t="s">
        <v>374</v>
      </c>
    </row>
    <row r="92" spans="1:76" ht="14.5" x14ac:dyDescent="0.35">
      <c r="A92" s="1" t="s">
        <v>375</v>
      </c>
      <c r="B92" s="2" t="s">
        <v>376</v>
      </c>
      <c r="C92" s="81" t="s">
        <v>377</v>
      </c>
      <c r="D92" s="75"/>
      <c r="E92" s="2" t="s">
        <v>371</v>
      </c>
      <c r="F92" s="14">
        <v>2</v>
      </c>
      <c r="G92" s="55">
        <v>0</v>
      </c>
      <c r="H92" s="14">
        <f t="shared" si="48"/>
        <v>0</v>
      </c>
      <c r="I92" s="14">
        <f t="shared" si="49"/>
        <v>0</v>
      </c>
      <c r="J92" s="56">
        <f t="shared" si="50"/>
        <v>0</v>
      </c>
      <c r="Z92" s="14">
        <f t="shared" si="51"/>
        <v>0</v>
      </c>
      <c r="AB92" s="14">
        <f t="shared" si="52"/>
        <v>0</v>
      </c>
      <c r="AC92" s="14">
        <f t="shared" si="53"/>
        <v>0</v>
      </c>
      <c r="AD92" s="14">
        <f t="shared" si="54"/>
        <v>0</v>
      </c>
      <c r="AE92" s="14">
        <f t="shared" si="55"/>
        <v>0</v>
      </c>
      <c r="AF92" s="14">
        <f t="shared" si="56"/>
        <v>0</v>
      </c>
      <c r="AG92" s="14">
        <f t="shared" si="57"/>
        <v>0</v>
      </c>
      <c r="AH92" s="14">
        <f t="shared" si="58"/>
        <v>0</v>
      </c>
      <c r="AI92" s="43" t="s">
        <v>19</v>
      </c>
      <c r="AJ92" s="14">
        <f t="shared" si="59"/>
        <v>0</v>
      </c>
      <c r="AK92" s="14">
        <f t="shared" si="60"/>
        <v>0</v>
      </c>
      <c r="AL92" s="14">
        <f t="shared" si="61"/>
        <v>0</v>
      </c>
      <c r="AN92" s="14">
        <v>21</v>
      </c>
      <c r="AO92" s="14">
        <f t="shared" si="62"/>
        <v>0</v>
      </c>
      <c r="AP92" s="14">
        <f t="shared" si="63"/>
        <v>0</v>
      </c>
      <c r="AQ92" s="13" t="s">
        <v>205</v>
      </c>
      <c r="AV92" s="14">
        <f t="shared" si="64"/>
        <v>0</v>
      </c>
      <c r="AW92" s="14">
        <f t="shared" si="65"/>
        <v>0</v>
      </c>
      <c r="AX92" s="14">
        <f t="shared" si="66"/>
        <v>0</v>
      </c>
      <c r="AY92" s="13" t="s">
        <v>358</v>
      </c>
      <c r="AZ92" s="13" t="s">
        <v>275</v>
      </c>
      <c r="BA92" s="43" t="s">
        <v>182</v>
      </c>
      <c r="BC92" s="14">
        <f t="shared" si="67"/>
        <v>0</v>
      </c>
      <c r="BD92" s="14">
        <f t="shared" si="68"/>
        <v>0</v>
      </c>
      <c r="BE92" s="14">
        <v>0</v>
      </c>
      <c r="BF92" s="14">
        <f>92</f>
        <v>92</v>
      </c>
      <c r="BH92" s="14">
        <f t="shared" si="69"/>
        <v>0</v>
      </c>
      <c r="BI92" s="14">
        <f t="shared" si="70"/>
        <v>0</v>
      </c>
      <c r="BJ92" s="14">
        <f t="shared" si="71"/>
        <v>0</v>
      </c>
      <c r="BK92" s="14"/>
      <c r="BL92" s="14">
        <v>725</v>
      </c>
      <c r="BW92" s="14">
        <v>21</v>
      </c>
      <c r="BX92" s="4" t="s">
        <v>377</v>
      </c>
    </row>
    <row r="93" spans="1:76" ht="14.5" x14ac:dyDescent="0.35">
      <c r="A93" s="1" t="s">
        <v>378</v>
      </c>
      <c r="B93" s="2" t="s">
        <v>379</v>
      </c>
      <c r="C93" s="81" t="s">
        <v>380</v>
      </c>
      <c r="D93" s="75"/>
      <c r="E93" s="2" t="s">
        <v>273</v>
      </c>
      <c r="F93" s="14">
        <v>2</v>
      </c>
      <c r="G93" s="55">
        <v>0</v>
      </c>
      <c r="H93" s="14">
        <f t="shared" si="48"/>
        <v>0</v>
      </c>
      <c r="I93" s="14">
        <f t="shared" si="49"/>
        <v>0</v>
      </c>
      <c r="J93" s="56">
        <f t="shared" si="50"/>
        <v>0</v>
      </c>
      <c r="Z93" s="14">
        <f t="shared" si="51"/>
        <v>0</v>
      </c>
      <c r="AB93" s="14">
        <f t="shared" si="52"/>
        <v>0</v>
      </c>
      <c r="AC93" s="14">
        <f t="shared" si="53"/>
        <v>0</v>
      </c>
      <c r="AD93" s="14">
        <f t="shared" si="54"/>
        <v>0</v>
      </c>
      <c r="AE93" s="14">
        <f t="shared" si="55"/>
        <v>0</v>
      </c>
      <c r="AF93" s="14">
        <f t="shared" si="56"/>
        <v>0</v>
      </c>
      <c r="AG93" s="14">
        <f t="shared" si="57"/>
        <v>0</v>
      </c>
      <c r="AH93" s="14">
        <f t="shared" si="58"/>
        <v>0</v>
      </c>
      <c r="AI93" s="43" t="s">
        <v>19</v>
      </c>
      <c r="AJ93" s="14">
        <f t="shared" si="59"/>
        <v>0</v>
      </c>
      <c r="AK93" s="14">
        <f t="shared" si="60"/>
        <v>0</v>
      </c>
      <c r="AL93" s="14">
        <f t="shared" si="61"/>
        <v>0</v>
      </c>
      <c r="AN93" s="14">
        <v>21</v>
      </c>
      <c r="AO93" s="14">
        <f t="shared" si="62"/>
        <v>0</v>
      </c>
      <c r="AP93" s="14">
        <f t="shared" si="63"/>
        <v>0</v>
      </c>
      <c r="AQ93" s="13" t="s">
        <v>205</v>
      </c>
      <c r="AV93" s="14">
        <f t="shared" si="64"/>
        <v>0</v>
      </c>
      <c r="AW93" s="14">
        <f t="shared" si="65"/>
        <v>0</v>
      </c>
      <c r="AX93" s="14">
        <f t="shared" si="66"/>
        <v>0</v>
      </c>
      <c r="AY93" s="13" t="s">
        <v>358</v>
      </c>
      <c r="AZ93" s="13" t="s">
        <v>275</v>
      </c>
      <c r="BA93" s="43" t="s">
        <v>182</v>
      </c>
      <c r="BC93" s="14">
        <f t="shared" si="67"/>
        <v>0</v>
      </c>
      <c r="BD93" s="14">
        <f t="shared" si="68"/>
        <v>0</v>
      </c>
      <c r="BE93" s="14">
        <v>0</v>
      </c>
      <c r="BF93" s="14">
        <f>93</f>
        <v>93</v>
      </c>
      <c r="BH93" s="14">
        <f t="shared" si="69"/>
        <v>0</v>
      </c>
      <c r="BI93" s="14">
        <f t="shared" si="70"/>
        <v>0</v>
      </c>
      <c r="BJ93" s="14">
        <f t="shared" si="71"/>
        <v>0</v>
      </c>
      <c r="BK93" s="14"/>
      <c r="BL93" s="14">
        <v>725</v>
      </c>
      <c r="BW93" s="14">
        <v>21</v>
      </c>
      <c r="BX93" s="4" t="s">
        <v>380</v>
      </c>
    </row>
    <row r="94" spans="1:76" ht="14.5" x14ac:dyDescent="0.35">
      <c r="A94" s="1" t="s">
        <v>381</v>
      </c>
      <c r="B94" s="2" t="s">
        <v>382</v>
      </c>
      <c r="C94" s="81" t="s">
        <v>383</v>
      </c>
      <c r="D94" s="75"/>
      <c r="E94" s="2" t="s">
        <v>273</v>
      </c>
      <c r="F94" s="14">
        <v>2</v>
      </c>
      <c r="G94" s="55">
        <v>0</v>
      </c>
      <c r="H94" s="14">
        <f t="shared" si="48"/>
        <v>0</v>
      </c>
      <c r="I94" s="14">
        <f t="shared" si="49"/>
        <v>0</v>
      </c>
      <c r="J94" s="56">
        <f t="shared" si="50"/>
        <v>0</v>
      </c>
      <c r="Z94" s="14">
        <f t="shared" si="51"/>
        <v>0</v>
      </c>
      <c r="AB94" s="14">
        <f t="shared" si="52"/>
        <v>0</v>
      </c>
      <c r="AC94" s="14">
        <f t="shared" si="53"/>
        <v>0</v>
      </c>
      <c r="AD94" s="14">
        <f t="shared" si="54"/>
        <v>0</v>
      </c>
      <c r="AE94" s="14">
        <f t="shared" si="55"/>
        <v>0</v>
      </c>
      <c r="AF94" s="14">
        <f t="shared" si="56"/>
        <v>0</v>
      </c>
      <c r="AG94" s="14">
        <f t="shared" si="57"/>
        <v>0</v>
      </c>
      <c r="AH94" s="14">
        <f t="shared" si="58"/>
        <v>0</v>
      </c>
      <c r="AI94" s="43" t="s">
        <v>19</v>
      </c>
      <c r="AJ94" s="14">
        <f t="shared" si="59"/>
        <v>0</v>
      </c>
      <c r="AK94" s="14">
        <f t="shared" si="60"/>
        <v>0</v>
      </c>
      <c r="AL94" s="14">
        <f t="shared" si="61"/>
        <v>0</v>
      </c>
      <c r="AN94" s="14">
        <v>21</v>
      </c>
      <c r="AO94" s="14">
        <f t="shared" si="62"/>
        <v>0</v>
      </c>
      <c r="AP94" s="14">
        <f t="shared" si="63"/>
        <v>0</v>
      </c>
      <c r="AQ94" s="13" t="s">
        <v>205</v>
      </c>
      <c r="AV94" s="14">
        <f t="shared" si="64"/>
        <v>0</v>
      </c>
      <c r="AW94" s="14">
        <f t="shared" si="65"/>
        <v>0</v>
      </c>
      <c r="AX94" s="14">
        <f t="shared" si="66"/>
        <v>0</v>
      </c>
      <c r="AY94" s="13" t="s">
        <v>358</v>
      </c>
      <c r="AZ94" s="13" t="s">
        <v>275</v>
      </c>
      <c r="BA94" s="43" t="s">
        <v>182</v>
      </c>
      <c r="BC94" s="14">
        <f t="shared" si="67"/>
        <v>0</v>
      </c>
      <c r="BD94" s="14">
        <f t="shared" si="68"/>
        <v>0</v>
      </c>
      <c r="BE94" s="14">
        <v>0</v>
      </c>
      <c r="BF94" s="14">
        <f>94</f>
        <v>94</v>
      </c>
      <c r="BH94" s="14">
        <f t="shared" si="69"/>
        <v>0</v>
      </c>
      <c r="BI94" s="14">
        <f t="shared" si="70"/>
        <v>0</v>
      </c>
      <c r="BJ94" s="14">
        <f t="shared" si="71"/>
        <v>0</v>
      </c>
      <c r="BK94" s="14"/>
      <c r="BL94" s="14">
        <v>725</v>
      </c>
      <c r="BW94" s="14">
        <v>21</v>
      </c>
      <c r="BX94" s="4" t="s">
        <v>383</v>
      </c>
    </row>
    <row r="95" spans="1:76" ht="27" customHeight="1" x14ac:dyDescent="0.35">
      <c r="A95" s="1" t="s">
        <v>384</v>
      </c>
      <c r="B95" s="2" t="s">
        <v>385</v>
      </c>
      <c r="C95" s="81" t="s">
        <v>386</v>
      </c>
      <c r="D95" s="75"/>
      <c r="E95" s="2" t="s">
        <v>273</v>
      </c>
      <c r="F95" s="14">
        <v>3</v>
      </c>
      <c r="G95" s="55">
        <v>0</v>
      </c>
      <c r="H95" s="14">
        <f t="shared" si="48"/>
        <v>0</v>
      </c>
      <c r="I95" s="14">
        <f t="shared" si="49"/>
        <v>0</v>
      </c>
      <c r="J95" s="56">
        <f t="shared" si="50"/>
        <v>0</v>
      </c>
      <c r="Z95" s="14">
        <f t="shared" si="51"/>
        <v>0</v>
      </c>
      <c r="AB95" s="14">
        <f t="shared" si="52"/>
        <v>0</v>
      </c>
      <c r="AC95" s="14">
        <f t="shared" si="53"/>
        <v>0</v>
      </c>
      <c r="AD95" s="14">
        <f t="shared" si="54"/>
        <v>0</v>
      </c>
      <c r="AE95" s="14">
        <f t="shared" si="55"/>
        <v>0</v>
      </c>
      <c r="AF95" s="14">
        <f t="shared" si="56"/>
        <v>0</v>
      </c>
      <c r="AG95" s="14">
        <f t="shared" si="57"/>
        <v>0</v>
      </c>
      <c r="AH95" s="14">
        <f t="shared" si="58"/>
        <v>0</v>
      </c>
      <c r="AI95" s="43" t="s">
        <v>19</v>
      </c>
      <c r="AJ95" s="14">
        <f t="shared" si="59"/>
        <v>0</v>
      </c>
      <c r="AK95" s="14">
        <f t="shared" si="60"/>
        <v>0</v>
      </c>
      <c r="AL95" s="14">
        <f t="shared" si="61"/>
        <v>0</v>
      </c>
      <c r="AN95" s="14">
        <v>21</v>
      </c>
      <c r="AO95" s="14">
        <f t="shared" si="62"/>
        <v>0</v>
      </c>
      <c r="AP95" s="14">
        <f t="shared" si="63"/>
        <v>0</v>
      </c>
      <c r="AQ95" s="13" t="s">
        <v>205</v>
      </c>
      <c r="AV95" s="14">
        <f t="shared" si="64"/>
        <v>0</v>
      </c>
      <c r="AW95" s="14">
        <f t="shared" si="65"/>
        <v>0</v>
      </c>
      <c r="AX95" s="14">
        <f t="shared" si="66"/>
        <v>0</v>
      </c>
      <c r="AY95" s="13" t="s">
        <v>358</v>
      </c>
      <c r="AZ95" s="13" t="s">
        <v>275</v>
      </c>
      <c r="BA95" s="43" t="s">
        <v>182</v>
      </c>
      <c r="BC95" s="14">
        <f t="shared" si="67"/>
        <v>0</v>
      </c>
      <c r="BD95" s="14">
        <f t="shared" si="68"/>
        <v>0</v>
      </c>
      <c r="BE95" s="14">
        <v>0</v>
      </c>
      <c r="BF95" s="14">
        <f>95</f>
        <v>95</v>
      </c>
      <c r="BH95" s="14">
        <f t="shared" si="69"/>
        <v>0</v>
      </c>
      <c r="BI95" s="14">
        <f t="shared" si="70"/>
        <v>0</v>
      </c>
      <c r="BJ95" s="14">
        <f t="shared" si="71"/>
        <v>0</v>
      </c>
      <c r="BK95" s="14"/>
      <c r="BL95" s="14">
        <v>725</v>
      </c>
      <c r="BW95" s="14">
        <v>21</v>
      </c>
      <c r="BX95" s="4" t="s">
        <v>386</v>
      </c>
    </row>
    <row r="96" spans="1:76" ht="14.5" x14ac:dyDescent="0.35">
      <c r="A96" s="1" t="s">
        <v>387</v>
      </c>
      <c r="B96" s="2" t="s">
        <v>388</v>
      </c>
      <c r="C96" s="81" t="s">
        <v>389</v>
      </c>
      <c r="D96" s="75"/>
      <c r="E96" s="2" t="s">
        <v>273</v>
      </c>
      <c r="F96" s="14">
        <v>3</v>
      </c>
      <c r="G96" s="55">
        <v>0</v>
      </c>
      <c r="H96" s="14">
        <f t="shared" si="48"/>
        <v>0</v>
      </c>
      <c r="I96" s="14">
        <f t="shared" si="49"/>
        <v>0</v>
      </c>
      <c r="J96" s="56">
        <f t="shared" si="50"/>
        <v>0</v>
      </c>
      <c r="Z96" s="14">
        <f t="shared" si="51"/>
        <v>0</v>
      </c>
      <c r="AB96" s="14">
        <f t="shared" si="52"/>
        <v>0</v>
      </c>
      <c r="AC96" s="14">
        <f t="shared" si="53"/>
        <v>0</v>
      </c>
      <c r="AD96" s="14">
        <f t="shared" si="54"/>
        <v>0</v>
      </c>
      <c r="AE96" s="14">
        <f t="shared" si="55"/>
        <v>0</v>
      </c>
      <c r="AF96" s="14">
        <f t="shared" si="56"/>
        <v>0</v>
      </c>
      <c r="AG96" s="14">
        <f t="shared" si="57"/>
        <v>0</v>
      </c>
      <c r="AH96" s="14">
        <f t="shared" si="58"/>
        <v>0</v>
      </c>
      <c r="AI96" s="43" t="s">
        <v>19</v>
      </c>
      <c r="AJ96" s="14">
        <f t="shared" si="59"/>
        <v>0</v>
      </c>
      <c r="AK96" s="14">
        <f t="shared" si="60"/>
        <v>0</v>
      </c>
      <c r="AL96" s="14">
        <f t="shared" si="61"/>
        <v>0</v>
      </c>
      <c r="AN96" s="14">
        <v>21</v>
      </c>
      <c r="AO96" s="14">
        <f t="shared" si="62"/>
        <v>0</v>
      </c>
      <c r="AP96" s="14">
        <f t="shared" si="63"/>
        <v>0</v>
      </c>
      <c r="AQ96" s="13" t="s">
        <v>205</v>
      </c>
      <c r="AV96" s="14">
        <f t="shared" si="64"/>
        <v>0</v>
      </c>
      <c r="AW96" s="14">
        <f t="shared" si="65"/>
        <v>0</v>
      </c>
      <c r="AX96" s="14">
        <f t="shared" si="66"/>
        <v>0</v>
      </c>
      <c r="AY96" s="13" t="s">
        <v>358</v>
      </c>
      <c r="AZ96" s="13" t="s">
        <v>275</v>
      </c>
      <c r="BA96" s="43" t="s">
        <v>182</v>
      </c>
      <c r="BC96" s="14">
        <f t="shared" si="67"/>
        <v>0</v>
      </c>
      <c r="BD96" s="14">
        <f t="shared" si="68"/>
        <v>0</v>
      </c>
      <c r="BE96" s="14">
        <v>0</v>
      </c>
      <c r="BF96" s="14">
        <f>96</f>
        <v>96</v>
      </c>
      <c r="BH96" s="14">
        <f t="shared" si="69"/>
        <v>0</v>
      </c>
      <c r="BI96" s="14">
        <f t="shared" si="70"/>
        <v>0</v>
      </c>
      <c r="BJ96" s="14">
        <f t="shared" si="71"/>
        <v>0</v>
      </c>
      <c r="BK96" s="14"/>
      <c r="BL96" s="14">
        <v>725</v>
      </c>
      <c r="BW96" s="14">
        <v>21</v>
      </c>
      <c r="BX96" s="4" t="s">
        <v>389</v>
      </c>
    </row>
    <row r="97" spans="1:76" ht="14.5" x14ac:dyDescent="0.35">
      <c r="A97" s="1" t="s">
        <v>390</v>
      </c>
      <c r="B97" s="2" t="s">
        <v>391</v>
      </c>
      <c r="C97" s="81" t="s">
        <v>392</v>
      </c>
      <c r="D97" s="75"/>
      <c r="E97" s="2" t="s">
        <v>273</v>
      </c>
      <c r="F97" s="14">
        <v>3</v>
      </c>
      <c r="G97" s="55">
        <v>0</v>
      </c>
      <c r="H97" s="14">
        <f t="shared" si="48"/>
        <v>0</v>
      </c>
      <c r="I97" s="14">
        <f t="shared" si="49"/>
        <v>0</v>
      </c>
      <c r="J97" s="56">
        <f t="shared" si="50"/>
        <v>0</v>
      </c>
      <c r="Z97" s="14">
        <f t="shared" si="51"/>
        <v>0</v>
      </c>
      <c r="AB97" s="14">
        <f t="shared" si="52"/>
        <v>0</v>
      </c>
      <c r="AC97" s="14">
        <f t="shared" si="53"/>
        <v>0</v>
      </c>
      <c r="AD97" s="14">
        <f t="shared" si="54"/>
        <v>0</v>
      </c>
      <c r="AE97" s="14">
        <f t="shared" si="55"/>
        <v>0</v>
      </c>
      <c r="AF97" s="14">
        <f t="shared" si="56"/>
        <v>0</v>
      </c>
      <c r="AG97" s="14">
        <f t="shared" si="57"/>
        <v>0</v>
      </c>
      <c r="AH97" s="14">
        <f t="shared" si="58"/>
        <v>0</v>
      </c>
      <c r="AI97" s="43" t="s">
        <v>19</v>
      </c>
      <c r="AJ97" s="14">
        <f t="shared" si="59"/>
        <v>0</v>
      </c>
      <c r="AK97" s="14">
        <f t="shared" si="60"/>
        <v>0</v>
      </c>
      <c r="AL97" s="14">
        <f t="shared" si="61"/>
        <v>0</v>
      </c>
      <c r="AN97" s="14">
        <v>21</v>
      </c>
      <c r="AO97" s="14">
        <f t="shared" si="62"/>
        <v>0</v>
      </c>
      <c r="AP97" s="14">
        <f t="shared" si="63"/>
        <v>0</v>
      </c>
      <c r="AQ97" s="13" t="s">
        <v>205</v>
      </c>
      <c r="AV97" s="14">
        <f t="shared" si="64"/>
        <v>0</v>
      </c>
      <c r="AW97" s="14">
        <f t="shared" si="65"/>
        <v>0</v>
      </c>
      <c r="AX97" s="14">
        <f t="shared" si="66"/>
        <v>0</v>
      </c>
      <c r="AY97" s="13" t="s">
        <v>358</v>
      </c>
      <c r="AZ97" s="13" t="s">
        <v>275</v>
      </c>
      <c r="BA97" s="43" t="s">
        <v>182</v>
      </c>
      <c r="BC97" s="14">
        <f t="shared" si="67"/>
        <v>0</v>
      </c>
      <c r="BD97" s="14">
        <f t="shared" si="68"/>
        <v>0</v>
      </c>
      <c r="BE97" s="14">
        <v>0</v>
      </c>
      <c r="BF97" s="14">
        <f>97</f>
        <v>97</v>
      </c>
      <c r="BH97" s="14">
        <f t="shared" si="69"/>
        <v>0</v>
      </c>
      <c r="BI97" s="14">
        <f t="shared" si="70"/>
        <v>0</v>
      </c>
      <c r="BJ97" s="14">
        <f t="shared" si="71"/>
        <v>0</v>
      </c>
      <c r="BK97" s="14"/>
      <c r="BL97" s="14">
        <v>725</v>
      </c>
      <c r="BW97" s="14">
        <v>21</v>
      </c>
      <c r="BX97" s="4" t="s">
        <v>392</v>
      </c>
    </row>
    <row r="98" spans="1:76" ht="14.5" x14ac:dyDescent="0.35">
      <c r="A98" s="1" t="s">
        <v>27</v>
      </c>
      <c r="B98" s="2" t="s">
        <v>393</v>
      </c>
      <c r="C98" s="81" t="s">
        <v>394</v>
      </c>
      <c r="D98" s="75"/>
      <c r="E98" s="2" t="s">
        <v>371</v>
      </c>
      <c r="F98" s="14">
        <v>3</v>
      </c>
      <c r="G98" s="55">
        <v>0</v>
      </c>
      <c r="H98" s="14">
        <f t="shared" si="48"/>
        <v>0</v>
      </c>
      <c r="I98" s="14">
        <f t="shared" si="49"/>
        <v>0</v>
      </c>
      <c r="J98" s="56">
        <f t="shared" si="50"/>
        <v>0</v>
      </c>
      <c r="Z98" s="14">
        <f t="shared" si="51"/>
        <v>0</v>
      </c>
      <c r="AB98" s="14">
        <f t="shared" si="52"/>
        <v>0</v>
      </c>
      <c r="AC98" s="14">
        <f t="shared" si="53"/>
        <v>0</v>
      </c>
      <c r="AD98" s="14">
        <f t="shared" si="54"/>
        <v>0</v>
      </c>
      <c r="AE98" s="14">
        <f t="shared" si="55"/>
        <v>0</v>
      </c>
      <c r="AF98" s="14">
        <f t="shared" si="56"/>
        <v>0</v>
      </c>
      <c r="AG98" s="14">
        <f t="shared" si="57"/>
        <v>0</v>
      </c>
      <c r="AH98" s="14">
        <f t="shared" si="58"/>
        <v>0</v>
      </c>
      <c r="AI98" s="43" t="s">
        <v>19</v>
      </c>
      <c r="AJ98" s="14">
        <f t="shared" si="59"/>
        <v>0</v>
      </c>
      <c r="AK98" s="14">
        <f t="shared" si="60"/>
        <v>0</v>
      </c>
      <c r="AL98" s="14">
        <f t="shared" si="61"/>
        <v>0</v>
      </c>
      <c r="AN98" s="14">
        <v>21</v>
      </c>
      <c r="AO98" s="14">
        <f t="shared" si="62"/>
        <v>0</v>
      </c>
      <c r="AP98" s="14">
        <f t="shared" si="63"/>
        <v>0</v>
      </c>
      <c r="AQ98" s="13" t="s">
        <v>205</v>
      </c>
      <c r="AV98" s="14">
        <f t="shared" si="64"/>
        <v>0</v>
      </c>
      <c r="AW98" s="14">
        <f t="shared" si="65"/>
        <v>0</v>
      </c>
      <c r="AX98" s="14">
        <f t="shared" si="66"/>
        <v>0</v>
      </c>
      <c r="AY98" s="13" t="s">
        <v>358</v>
      </c>
      <c r="AZ98" s="13" t="s">
        <v>275</v>
      </c>
      <c r="BA98" s="43" t="s">
        <v>182</v>
      </c>
      <c r="BC98" s="14">
        <f t="shared" si="67"/>
        <v>0</v>
      </c>
      <c r="BD98" s="14">
        <f t="shared" si="68"/>
        <v>0</v>
      </c>
      <c r="BE98" s="14">
        <v>0</v>
      </c>
      <c r="BF98" s="14">
        <f>98</f>
        <v>98</v>
      </c>
      <c r="BH98" s="14">
        <f t="shared" si="69"/>
        <v>0</v>
      </c>
      <c r="BI98" s="14">
        <f t="shared" si="70"/>
        <v>0</v>
      </c>
      <c r="BJ98" s="14">
        <f t="shared" si="71"/>
        <v>0</v>
      </c>
      <c r="BK98" s="14"/>
      <c r="BL98" s="14">
        <v>725</v>
      </c>
      <c r="BW98" s="14">
        <v>21</v>
      </c>
      <c r="BX98" s="4" t="s">
        <v>394</v>
      </c>
    </row>
    <row r="99" spans="1:76" ht="14.5" x14ac:dyDescent="0.35">
      <c r="A99" s="1" t="s">
        <v>29</v>
      </c>
      <c r="B99" s="2" t="s">
        <v>395</v>
      </c>
      <c r="C99" s="81" t="s">
        <v>396</v>
      </c>
      <c r="D99" s="75"/>
      <c r="E99" s="2" t="s">
        <v>273</v>
      </c>
      <c r="F99" s="14">
        <v>3</v>
      </c>
      <c r="G99" s="55">
        <v>0</v>
      </c>
      <c r="H99" s="14">
        <f t="shared" si="48"/>
        <v>0</v>
      </c>
      <c r="I99" s="14">
        <f t="shared" si="49"/>
        <v>0</v>
      </c>
      <c r="J99" s="56">
        <f t="shared" si="50"/>
        <v>0</v>
      </c>
      <c r="Z99" s="14">
        <f t="shared" si="51"/>
        <v>0</v>
      </c>
      <c r="AB99" s="14">
        <f t="shared" si="52"/>
        <v>0</v>
      </c>
      <c r="AC99" s="14">
        <f t="shared" si="53"/>
        <v>0</v>
      </c>
      <c r="AD99" s="14">
        <f t="shared" si="54"/>
        <v>0</v>
      </c>
      <c r="AE99" s="14">
        <f t="shared" si="55"/>
        <v>0</v>
      </c>
      <c r="AF99" s="14">
        <f t="shared" si="56"/>
        <v>0</v>
      </c>
      <c r="AG99" s="14">
        <f t="shared" si="57"/>
        <v>0</v>
      </c>
      <c r="AH99" s="14">
        <f t="shared" si="58"/>
        <v>0</v>
      </c>
      <c r="AI99" s="43" t="s">
        <v>19</v>
      </c>
      <c r="AJ99" s="14">
        <f t="shared" si="59"/>
        <v>0</v>
      </c>
      <c r="AK99" s="14">
        <f t="shared" si="60"/>
        <v>0</v>
      </c>
      <c r="AL99" s="14">
        <f t="shared" si="61"/>
        <v>0</v>
      </c>
      <c r="AN99" s="14">
        <v>21</v>
      </c>
      <c r="AO99" s="14">
        <f t="shared" si="62"/>
        <v>0</v>
      </c>
      <c r="AP99" s="14">
        <f t="shared" si="63"/>
        <v>0</v>
      </c>
      <c r="AQ99" s="13" t="s">
        <v>205</v>
      </c>
      <c r="AV99" s="14">
        <f t="shared" si="64"/>
        <v>0</v>
      </c>
      <c r="AW99" s="14">
        <f t="shared" si="65"/>
        <v>0</v>
      </c>
      <c r="AX99" s="14">
        <f t="shared" si="66"/>
        <v>0</v>
      </c>
      <c r="AY99" s="13" t="s">
        <v>358</v>
      </c>
      <c r="AZ99" s="13" t="s">
        <v>275</v>
      </c>
      <c r="BA99" s="43" t="s">
        <v>182</v>
      </c>
      <c r="BC99" s="14">
        <f t="shared" si="67"/>
        <v>0</v>
      </c>
      <c r="BD99" s="14">
        <f t="shared" si="68"/>
        <v>0</v>
      </c>
      <c r="BE99" s="14">
        <v>0</v>
      </c>
      <c r="BF99" s="14">
        <f>99</f>
        <v>99</v>
      </c>
      <c r="BH99" s="14">
        <f t="shared" si="69"/>
        <v>0</v>
      </c>
      <c r="BI99" s="14">
        <f t="shared" si="70"/>
        <v>0</v>
      </c>
      <c r="BJ99" s="14">
        <f t="shared" si="71"/>
        <v>0</v>
      </c>
      <c r="BK99" s="14"/>
      <c r="BL99" s="14">
        <v>725</v>
      </c>
      <c r="BW99" s="14">
        <v>21</v>
      </c>
      <c r="BX99" s="4" t="s">
        <v>396</v>
      </c>
    </row>
    <row r="100" spans="1:76" ht="14.5" x14ac:dyDescent="0.35">
      <c r="A100" s="1" t="s">
        <v>31</v>
      </c>
      <c r="B100" s="2" t="s">
        <v>397</v>
      </c>
      <c r="C100" s="81" t="s">
        <v>398</v>
      </c>
      <c r="D100" s="75"/>
      <c r="E100" s="2" t="s">
        <v>371</v>
      </c>
      <c r="F100" s="14">
        <v>2</v>
      </c>
      <c r="G100" s="55">
        <v>0</v>
      </c>
      <c r="H100" s="14">
        <f t="shared" si="48"/>
        <v>0</v>
      </c>
      <c r="I100" s="14">
        <f t="shared" si="49"/>
        <v>0</v>
      </c>
      <c r="J100" s="56">
        <f t="shared" si="50"/>
        <v>0</v>
      </c>
      <c r="Z100" s="14">
        <f t="shared" si="51"/>
        <v>0</v>
      </c>
      <c r="AB100" s="14">
        <f t="shared" si="52"/>
        <v>0</v>
      </c>
      <c r="AC100" s="14">
        <f t="shared" si="53"/>
        <v>0</v>
      </c>
      <c r="AD100" s="14">
        <f t="shared" si="54"/>
        <v>0</v>
      </c>
      <c r="AE100" s="14">
        <f t="shared" si="55"/>
        <v>0</v>
      </c>
      <c r="AF100" s="14">
        <f t="shared" si="56"/>
        <v>0</v>
      </c>
      <c r="AG100" s="14">
        <f t="shared" si="57"/>
        <v>0</v>
      </c>
      <c r="AH100" s="14">
        <f t="shared" si="58"/>
        <v>0</v>
      </c>
      <c r="AI100" s="43" t="s">
        <v>19</v>
      </c>
      <c r="AJ100" s="14">
        <f t="shared" si="59"/>
        <v>0</v>
      </c>
      <c r="AK100" s="14">
        <f t="shared" si="60"/>
        <v>0</v>
      </c>
      <c r="AL100" s="14">
        <f t="shared" si="61"/>
        <v>0</v>
      </c>
      <c r="AN100" s="14">
        <v>21</v>
      </c>
      <c r="AO100" s="14">
        <f t="shared" si="62"/>
        <v>0</v>
      </c>
      <c r="AP100" s="14">
        <f t="shared" si="63"/>
        <v>0</v>
      </c>
      <c r="AQ100" s="13" t="s">
        <v>205</v>
      </c>
      <c r="AV100" s="14">
        <f t="shared" si="64"/>
        <v>0</v>
      </c>
      <c r="AW100" s="14">
        <f t="shared" si="65"/>
        <v>0</v>
      </c>
      <c r="AX100" s="14">
        <f t="shared" si="66"/>
        <v>0</v>
      </c>
      <c r="AY100" s="13" t="s">
        <v>358</v>
      </c>
      <c r="AZ100" s="13" t="s">
        <v>275</v>
      </c>
      <c r="BA100" s="43" t="s">
        <v>182</v>
      </c>
      <c r="BC100" s="14">
        <f t="shared" si="67"/>
        <v>0</v>
      </c>
      <c r="BD100" s="14">
        <f t="shared" si="68"/>
        <v>0</v>
      </c>
      <c r="BE100" s="14">
        <v>0</v>
      </c>
      <c r="BF100" s="14">
        <f>100</f>
        <v>100</v>
      </c>
      <c r="BH100" s="14">
        <f t="shared" si="69"/>
        <v>0</v>
      </c>
      <c r="BI100" s="14">
        <f t="shared" si="70"/>
        <v>0</v>
      </c>
      <c r="BJ100" s="14">
        <f t="shared" si="71"/>
        <v>0</v>
      </c>
      <c r="BK100" s="14"/>
      <c r="BL100" s="14">
        <v>725</v>
      </c>
      <c r="BW100" s="14">
        <v>21</v>
      </c>
      <c r="BX100" s="4" t="s">
        <v>398</v>
      </c>
    </row>
    <row r="101" spans="1:76" ht="14.5" x14ac:dyDescent="0.35">
      <c r="A101" s="1" t="s">
        <v>33</v>
      </c>
      <c r="B101" s="2" t="s">
        <v>399</v>
      </c>
      <c r="C101" s="81" t="s">
        <v>400</v>
      </c>
      <c r="D101" s="75"/>
      <c r="E101" s="2" t="s">
        <v>273</v>
      </c>
      <c r="F101" s="14">
        <v>1</v>
      </c>
      <c r="G101" s="55">
        <v>0</v>
      </c>
      <c r="H101" s="14">
        <f t="shared" si="48"/>
        <v>0</v>
      </c>
      <c r="I101" s="14">
        <f t="shared" si="49"/>
        <v>0</v>
      </c>
      <c r="J101" s="56">
        <f t="shared" si="50"/>
        <v>0</v>
      </c>
      <c r="Z101" s="14">
        <f t="shared" si="51"/>
        <v>0</v>
      </c>
      <c r="AB101" s="14">
        <f t="shared" si="52"/>
        <v>0</v>
      </c>
      <c r="AC101" s="14">
        <f t="shared" si="53"/>
        <v>0</v>
      </c>
      <c r="AD101" s="14">
        <f t="shared" si="54"/>
        <v>0</v>
      </c>
      <c r="AE101" s="14">
        <f t="shared" si="55"/>
        <v>0</v>
      </c>
      <c r="AF101" s="14">
        <f t="shared" si="56"/>
        <v>0</v>
      </c>
      <c r="AG101" s="14">
        <f t="shared" si="57"/>
        <v>0</v>
      </c>
      <c r="AH101" s="14">
        <f t="shared" si="58"/>
        <v>0</v>
      </c>
      <c r="AI101" s="43" t="s">
        <v>19</v>
      </c>
      <c r="AJ101" s="14">
        <f t="shared" si="59"/>
        <v>0</v>
      </c>
      <c r="AK101" s="14">
        <f t="shared" si="60"/>
        <v>0</v>
      </c>
      <c r="AL101" s="14">
        <f t="shared" si="61"/>
        <v>0</v>
      </c>
      <c r="AN101" s="14">
        <v>21</v>
      </c>
      <c r="AO101" s="14">
        <f t="shared" si="62"/>
        <v>0</v>
      </c>
      <c r="AP101" s="14">
        <f t="shared" si="63"/>
        <v>0</v>
      </c>
      <c r="AQ101" s="13" t="s">
        <v>205</v>
      </c>
      <c r="AV101" s="14">
        <f t="shared" si="64"/>
        <v>0</v>
      </c>
      <c r="AW101" s="14">
        <f t="shared" si="65"/>
        <v>0</v>
      </c>
      <c r="AX101" s="14">
        <f t="shared" si="66"/>
        <v>0</v>
      </c>
      <c r="AY101" s="13" t="s">
        <v>358</v>
      </c>
      <c r="AZ101" s="13" t="s">
        <v>275</v>
      </c>
      <c r="BA101" s="43" t="s">
        <v>182</v>
      </c>
      <c r="BC101" s="14">
        <f t="shared" si="67"/>
        <v>0</v>
      </c>
      <c r="BD101" s="14">
        <f t="shared" si="68"/>
        <v>0</v>
      </c>
      <c r="BE101" s="14">
        <v>0</v>
      </c>
      <c r="BF101" s="14">
        <f>101</f>
        <v>101</v>
      </c>
      <c r="BH101" s="14">
        <f t="shared" si="69"/>
        <v>0</v>
      </c>
      <c r="BI101" s="14">
        <f t="shared" si="70"/>
        <v>0</v>
      </c>
      <c r="BJ101" s="14">
        <f t="shared" si="71"/>
        <v>0</v>
      </c>
      <c r="BK101" s="14"/>
      <c r="BL101" s="14">
        <v>725</v>
      </c>
      <c r="BW101" s="14">
        <v>21</v>
      </c>
      <c r="BX101" s="4" t="s">
        <v>400</v>
      </c>
    </row>
    <row r="102" spans="1:76" ht="14.5" x14ac:dyDescent="0.35">
      <c r="A102" s="1" t="s">
        <v>401</v>
      </c>
      <c r="B102" s="2" t="s">
        <v>402</v>
      </c>
      <c r="C102" s="81" t="s">
        <v>403</v>
      </c>
      <c r="D102" s="75"/>
      <c r="E102" s="2" t="s">
        <v>273</v>
      </c>
      <c r="F102" s="14">
        <v>2</v>
      </c>
      <c r="G102" s="55">
        <v>0</v>
      </c>
      <c r="H102" s="14">
        <f t="shared" si="48"/>
        <v>0</v>
      </c>
      <c r="I102" s="14">
        <f t="shared" si="49"/>
        <v>0</v>
      </c>
      <c r="J102" s="56">
        <f t="shared" si="50"/>
        <v>0</v>
      </c>
      <c r="Z102" s="14">
        <f t="shared" si="51"/>
        <v>0</v>
      </c>
      <c r="AB102" s="14">
        <f t="shared" si="52"/>
        <v>0</v>
      </c>
      <c r="AC102" s="14">
        <f t="shared" si="53"/>
        <v>0</v>
      </c>
      <c r="AD102" s="14">
        <f t="shared" si="54"/>
        <v>0</v>
      </c>
      <c r="AE102" s="14">
        <f t="shared" si="55"/>
        <v>0</v>
      </c>
      <c r="AF102" s="14">
        <f t="shared" si="56"/>
        <v>0</v>
      </c>
      <c r="AG102" s="14">
        <f t="shared" si="57"/>
        <v>0</v>
      </c>
      <c r="AH102" s="14">
        <f t="shared" si="58"/>
        <v>0</v>
      </c>
      <c r="AI102" s="43" t="s">
        <v>19</v>
      </c>
      <c r="AJ102" s="14">
        <f t="shared" si="59"/>
        <v>0</v>
      </c>
      <c r="AK102" s="14">
        <f t="shared" si="60"/>
        <v>0</v>
      </c>
      <c r="AL102" s="14">
        <f t="shared" si="61"/>
        <v>0</v>
      </c>
      <c r="AN102" s="14">
        <v>21</v>
      </c>
      <c r="AO102" s="14">
        <f t="shared" si="62"/>
        <v>0</v>
      </c>
      <c r="AP102" s="14">
        <f t="shared" si="63"/>
        <v>0</v>
      </c>
      <c r="AQ102" s="13" t="s">
        <v>205</v>
      </c>
      <c r="AV102" s="14">
        <f t="shared" si="64"/>
        <v>0</v>
      </c>
      <c r="AW102" s="14">
        <f t="shared" si="65"/>
        <v>0</v>
      </c>
      <c r="AX102" s="14">
        <f t="shared" si="66"/>
        <v>0</v>
      </c>
      <c r="AY102" s="13" t="s">
        <v>358</v>
      </c>
      <c r="AZ102" s="13" t="s">
        <v>275</v>
      </c>
      <c r="BA102" s="43" t="s">
        <v>182</v>
      </c>
      <c r="BC102" s="14">
        <f t="shared" si="67"/>
        <v>0</v>
      </c>
      <c r="BD102" s="14">
        <f t="shared" si="68"/>
        <v>0</v>
      </c>
      <c r="BE102" s="14">
        <v>0</v>
      </c>
      <c r="BF102" s="14">
        <f>102</f>
        <v>102</v>
      </c>
      <c r="BH102" s="14">
        <f t="shared" si="69"/>
        <v>0</v>
      </c>
      <c r="BI102" s="14">
        <f t="shared" si="70"/>
        <v>0</v>
      </c>
      <c r="BJ102" s="14">
        <f t="shared" si="71"/>
        <v>0</v>
      </c>
      <c r="BK102" s="14"/>
      <c r="BL102" s="14">
        <v>725</v>
      </c>
      <c r="BW102" s="14">
        <v>21</v>
      </c>
      <c r="BX102" s="4" t="s">
        <v>403</v>
      </c>
    </row>
    <row r="103" spans="1:76" ht="14.5" x14ac:dyDescent="0.35">
      <c r="A103" s="1" t="s">
        <v>404</v>
      </c>
      <c r="B103" s="2" t="s">
        <v>405</v>
      </c>
      <c r="C103" s="81" t="s">
        <v>406</v>
      </c>
      <c r="D103" s="75"/>
      <c r="E103" s="2" t="s">
        <v>407</v>
      </c>
      <c r="F103" s="14">
        <v>2</v>
      </c>
      <c r="G103" s="55">
        <v>0</v>
      </c>
      <c r="H103" s="14">
        <f t="shared" si="48"/>
        <v>0</v>
      </c>
      <c r="I103" s="14">
        <f t="shared" si="49"/>
        <v>0</v>
      </c>
      <c r="J103" s="56">
        <f t="shared" si="50"/>
        <v>0</v>
      </c>
      <c r="Z103" s="14">
        <f t="shared" si="51"/>
        <v>0</v>
      </c>
      <c r="AB103" s="14">
        <f t="shared" si="52"/>
        <v>0</v>
      </c>
      <c r="AC103" s="14">
        <f t="shared" si="53"/>
        <v>0</v>
      </c>
      <c r="AD103" s="14">
        <f t="shared" si="54"/>
        <v>0</v>
      </c>
      <c r="AE103" s="14">
        <f t="shared" si="55"/>
        <v>0</v>
      </c>
      <c r="AF103" s="14">
        <f t="shared" si="56"/>
        <v>0</v>
      </c>
      <c r="AG103" s="14">
        <f t="shared" si="57"/>
        <v>0</v>
      </c>
      <c r="AH103" s="14">
        <f t="shared" si="58"/>
        <v>0</v>
      </c>
      <c r="AI103" s="43" t="s">
        <v>19</v>
      </c>
      <c r="AJ103" s="14">
        <f t="shared" si="59"/>
        <v>0</v>
      </c>
      <c r="AK103" s="14">
        <f t="shared" si="60"/>
        <v>0</v>
      </c>
      <c r="AL103" s="14">
        <f t="shared" si="61"/>
        <v>0</v>
      </c>
      <c r="AN103" s="14">
        <v>21</v>
      </c>
      <c r="AO103" s="14">
        <f t="shared" si="62"/>
        <v>0</v>
      </c>
      <c r="AP103" s="14">
        <f t="shared" si="63"/>
        <v>0</v>
      </c>
      <c r="AQ103" s="13" t="s">
        <v>205</v>
      </c>
      <c r="AV103" s="14">
        <f t="shared" si="64"/>
        <v>0</v>
      </c>
      <c r="AW103" s="14">
        <f t="shared" si="65"/>
        <v>0</v>
      </c>
      <c r="AX103" s="14">
        <f t="shared" si="66"/>
        <v>0</v>
      </c>
      <c r="AY103" s="13" t="s">
        <v>358</v>
      </c>
      <c r="AZ103" s="13" t="s">
        <v>275</v>
      </c>
      <c r="BA103" s="43" t="s">
        <v>182</v>
      </c>
      <c r="BC103" s="14">
        <f t="shared" si="67"/>
        <v>0</v>
      </c>
      <c r="BD103" s="14">
        <f t="shared" si="68"/>
        <v>0</v>
      </c>
      <c r="BE103" s="14">
        <v>0</v>
      </c>
      <c r="BF103" s="14">
        <f>103</f>
        <v>103</v>
      </c>
      <c r="BH103" s="14">
        <f t="shared" si="69"/>
        <v>0</v>
      </c>
      <c r="BI103" s="14">
        <f t="shared" si="70"/>
        <v>0</v>
      </c>
      <c r="BJ103" s="14">
        <f t="shared" si="71"/>
        <v>0</v>
      </c>
      <c r="BK103" s="14"/>
      <c r="BL103" s="14">
        <v>725</v>
      </c>
      <c r="BW103" s="14">
        <v>21</v>
      </c>
      <c r="BX103" s="4" t="s">
        <v>406</v>
      </c>
    </row>
    <row r="104" spans="1:76" ht="14.5" x14ac:dyDescent="0.35">
      <c r="A104" s="1" t="s">
        <v>408</v>
      </c>
      <c r="B104" s="2" t="s">
        <v>409</v>
      </c>
      <c r="C104" s="81" t="s">
        <v>374</v>
      </c>
      <c r="D104" s="75"/>
      <c r="E104" s="2" t="s">
        <v>273</v>
      </c>
      <c r="F104" s="14">
        <v>2</v>
      </c>
      <c r="G104" s="55">
        <v>0</v>
      </c>
      <c r="H104" s="14">
        <f t="shared" si="48"/>
        <v>0</v>
      </c>
      <c r="I104" s="14">
        <f t="shared" si="49"/>
        <v>0</v>
      </c>
      <c r="J104" s="56">
        <f t="shared" si="50"/>
        <v>0</v>
      </c>
      <c r="Z104" s="14">
        <f t="shared" si="51"/>
        <v>0</v>
      </c>
      <c r="AB104" s="14">
        <f t="shared" si="52"/>
        <v>0</v>
      </c>
      <c r="AC104" s="14">
        <f t="shared" si="53"/>
        <v>0</v>
      </c>
      <c r="AD104" s="14">
        <f t="shared" si="54"/>
        <v>0</v>
      </c>
      <c r="AE104" s="14">
        <f t="shared" si="55"/>
        <v>0</v>
      </c>
      <c r="AF104" s="14">
        <f t="shared" si="56"/>
        <v>0</v>
      </c>
      <c r="AG104" s="14">
        <f t="shared" si="57"/>
        <v>0</v>
      </c>
      <c r="AH104" s="14">
        <f t="shared" si="58"/>
        <v>0</v>
      </c>
      <c r="AI104" s="43" t="s">
        <v>19</v>
      </c>
      <c r="AJ104" s="14">
        <f t="shared" si="59"/>
        <v>0</v>
      </c>
      <c r="AK104" s="14">
        <f t="shared" si="60"/>
        <v>0</v>
      </c>
      <c r="AL104" s="14">
        <f t="shared" si="61"/>
        <v>0</v>
      </c>
      <c r="AN104" s="14">
        <v>21</v>
      </c>
      <c r="AO104" s="14">
        <f t="shared" si="62"/>
        <v>0</v>
      </c>
      <c r="AP104" s="14">
        <f t="shared" si="63"/>
        <v>0</v>
      </c>
      <c r="AQ104" s="13" t="s">
        <v>205</v>
      </c>
      <c r="AV104" s="14">
        <f t="shared" si="64"/>
        <v>0</v>
      </c>
      <c r="AW104" s="14">
        <f t="shared" si="65"/>
        <v>0</v>
      </c>
      <c r="AX104" s="14">
        <f t="shared" si="66"/>
        <v>0</v>
      </c>
      <c r="AY104" s="13" t="s">
        <v>358</v>
      </c>
      <c r="AZ104" s="13" t="s">
        <v>275</v>
      </c>
      <c r="BA104" s="43" t="s">
        <v>182</v>
      </c>
      <c r="BC104" s="14">
        <f t="shared" si="67"/>
        <v>0</v>
      </c>
      <c r="BD104" s="14">
        <f t="shared" si="68"/>
        <v>0</v>
      </c>
      <c r="BE104" s="14">
        <v>0</v>
      </c>
      <c r="BF104" s="14">
        <f>104</f>
        <v>104</v>
      </c>
      <c r="BH104" s="14">
        <f t="shared" si="69"/>
        <v>0</v>
      </c>
      <c r="BI104" s="14">
        <f t="shared" si="70"/>
        <v>0</v>
      </c>
      <c r="BJ104" s="14">
        <f t="shared" si="71"/>
        <v>0</v>
      </c>
      <c r="BK104" s="14"/>
      <c r="BL104" s="14">
        <v>725</v>
      </c>
      <c r="BW104" s="14">
        <v>21</v>
      </c>
      <c r="BX104" s="4" t="s">
        <v>374</v>
      </c>
    </row>
    <row r="105" spans="1:76" ht="14.5" x14ac:dyDescent="0.35">
      <c r="A105" s="1" t="s">
        <v>410</v>
      </c>
      <c r="B105" s="2" t="s">
        <v>411</v>
      </c>
      <c r="C105" s="81" t="s">
        <v>412</v>
      </c>
      <c r="D105" s="75"/>
      <c r="E105" s="2" t="s">
        <v>273</v>
      </c>
      <c r="F105" s="14">
        <v>2</v>
      </c>
      <c r="G105" s="55">
        <v>0</v>
      </c>
      <c r="H105" s="14">
        <f t="shared" si="48"/>
        <v>0</v>
      </c>
      <c r="I105" s="14">
        <f t="shared" si="49"/>
        <v>0</v>
      </c>
      <c r="J105" s="56">
        <f t="shared" si="50"/>
        <v>0</v>
      </c>
      <c r="Z105" s="14">
        <f t="shared" si="51"/>
        <v>0</v>
      </c>
      <c r="AB105" s="14">
        <f t="shared" si="52"/>
        <v>0</v>
      </c>
      <c r="AC105" s="14">
        <f t="shared" si="53"/>
        <v>0</v>
      </c>
      <c r="AD105" s="14">
        <f t="shared" si="54"/>
        <v>0</v>
      </c>
      <c r="AE105" s="14">
        <f t="shared" si="55"/>
        <v>0</v>
      </c>
      <c r="AF105" s="14">
        <f t="shared" si="56"/>
        <v>0</v>
      </c>
      <c r="AG105" s="14">
        <f t="shared" si="57"/>
        <v>0</v>
      </c>
      <c r="AH105" s="14">
        <f t="shared" si="58"/>
        <v>0</v>
      </c>
      <c r="AI105" s="43" t="s">
        <v>19</v>
      </c>
      <c r="AJ105" s="14">
        <f t="shared" si="59"/>
        <v>0</v>
      </c>
      <c r="AK105" s="14">
        <f t="shared" si="60"/>
        <v>0</v>
      </c>
      <c r="AL105" s="14">
        <f t="shared" si="61"/>
        <v>0</v>
      </c>
      <c r="AN105" s="14">
        <v>21</v>
      </c>
      <c r="AO105" s="14">
        <f t="shared" si="62"/>
        <v>0</v>
      </c>
      <c r="AP105" s="14">
        <f t="shared" si="63"/>
        <v>0</v>
      </c>
      <c r="AQ105" s="13" t="s">
        <v>205</v>
      </c>
      <c r="AV105" s="14">
        <f t="shared" si="64"/>
        <v>0</v>
      </c>
      <c r="AW105" s="14">
        <f t="shared" si="65"/>
        <v>0</v>
      </c>
      <c r="AX105" s="14">
        <f t="shared" si="66"/>
        <v>0</v>
      </c>
      <c r="AY105" s="13" t="s">
        <v>358</v>
      </c>
      <c r="AZ105" s="13" t="s">
        <v>275</v>
      </c>
      <c r="BA105" s="43" t="s">
        <v>182</v>
      </c>
      <c r="BC105" s="14">
        <f t="shared" si="67"/>
        <v>0</v>
      </c>
      <c r="BD105" s="14">
        <f t="shared" si="68"/>
        <v>0</v>
      </c>
      <c r="BE105" s="14">
        <v>0</v>
      </c>
      <c r="BF105" s="14">
        <f>105</f>
        <v>105</v>
      </c>
      <c r="BH105" s="14">
        <f t="shared" si="69"/>
        <v>0</v>
      </c>
      <c r="BI105" s="14">
        <f t="shared" si="70"/>
        <v>0</v>
      </c>
      <c r="BJ105" s="14">
        <f t="shared" si="71"/>
        <v>0</v>
      </c>
      <c r="BK105" s="14"/>
      <c r="BL105" s="14">
        <v>725</v>
      </c>
      <c r="BW105" s="14">
        <v>21</v>
      </c>
      <c r="BX105" s="4" t="s">
        <v>412</v>
      </c>
    </row>
    <row r="106" spans="1:76" ht="14.5" x14ac:dyDescent="0.35">
      <c r="A106" s="1" t="s">
        <v>413</v>
      </c>
      <c r="B106" s="2" t="s">
        <v>414</v>
      </c>
      <c r="C106" s="81" t="s">
        <v>415</v>
      </c>
      <c r="D106" s="75"/>
      <c r="E106" s="2" t="s">
        <v>371</v>
      </c>
      <c r="F106" s="14">
        <v>3</v>
      </c>
      <c r="G106" s="55">
        <v>0</v>
      </c>
      <c r="H106" s="14">
        <f t="shared" si="48"/>
        <v>0</v>
      </c>
      <c r="I106" s="14">
        <f t="shared" si="49"/>
        <v>0</v>
      </c>
      <c r="J106" s="56">
        <f t="shared" si="50"/>
        <v>0</v>
      </c>
      <c r="Z106" s="14">
        <f t="shared" si="51"/>
        <v>0</v>
      </c>
      <c r="AB106" s="14">
        <f t="shared" si="52"/>
        <v>0</v>
      </c>
      <c r="AC106" s="14">
        <f t="shared" si="53"/>
        <v>0</v>
      </c>
      <c r="AD106" s="14">
        <f t="shared" si="54"/>
        <v>0</v>
      </c>
      <c r="AE106" s="14">
        <f t="shared" si="55"/>
        <v>0</v>
      </c>
      <c r="AF106" s="14">
        <f t="shared" si="56"/>
        <v>0</v>
      </c>
      <c r="AG106" s="14">
        <f t="shared" si="57"/>
        <v>0</v>
      </c>
      <c r="AH106" s="14">
        <f t="shared" si="58"/>
        <v>0</v>
      </c>
      <c r="AI106" s="43" t="s">
        <v>19</v>
      </c>
      <c r="AJ106" s="14">
        <f t="shared" si="59"/>
        <v>0</v>
      </c>
      <c r="AK106" s="14">
        <f t="shared" si="60"/>
        <v>0</v>
      </c>
      <c r="AL106" s="14">
        <f t="shared" si="61"/>
        <v>0</v>
      </c>
      <c r="AN106" s="14">
        <v>21</v>
      </c>
      <c r="AO106" s="14">
        <f t="shared" si="62"/>
        <v>0</v>
      </c>
      <c r="AP106" s="14">
        <f t="shared" si="63"/>
        <v>0</v>
      </c>
      <c r="AQ106" s="13" t="s">
        <v>205</v>
      </c>
      <c r="AV106" s="14">
        <f t="shared" si="64"/>
        <v>0</v>
      </c>
      <c r="AW106" s="14">
        <f t="shared" si="65"/>
        <v>0</v>
      </c>
      <c r="AX106" s="14">
        <f t="shared" si="66"/>
        <v>0</v>
      </c>
      <c r="AY106" s="13" t="s">
        <v>358</v>
      </c>
      <c r="AZ106" s="13" t="s">
        <v>275</v>
      </c>
      <c r="BA106" s="43" t="s">
        <v>182</v>
      </c>
      <c r="BC106" s="14">
        <f t="shared" si="67"/>
        <v>0</v>
      </c>
      <c r="BD106" s="14">
        <f t="shared" si="68"/>
        <v>0</v>
      </c>
      <c r="BE106" s="14">
        <v>0</v>
      </c>
      <c r="BF106" s="14">
        <f>106</f>
        <v>106</v>
      </c>
      <c r="BH106" s="14">
        <f t="shared" si="69"/>
        <v>0</v>
      </c>
      <c r="BI106" s="14">
        <f t="shared" si="70"/>
        <v>0</v>
      </c>
      <c r="BJ106" s="14">
        <f t="shared" si="71"/>
        <v>0</v>
      </c>
      <c r="BK106" s="14"/>
      <c r="BL106" s="14">
        <v>725</v>
      </c>
      <c r="BW106" s="14">
        <v>21</v>
      </c>
      <c r="BX106" s="4" t="s">
        <v>415</v>
      </c>
    </row>
    <row r="107" spans="1:76" ht="52" x14ac:dyDescent="0.35">
      <c r="A107" s="57"/>
      <c r="B107" s="58" t="s">
        <v>190</v>
      </c>
      <c r="C107" s="154" t="s">
        <v>416</v>
      </c>
      <c r="D107" s="155"/>
      <c r="E107" s="155"/>
      <c r="F107" s="155"/>
      <c r="G107" s="156"/>
      <c r="H107" s="155"/>
      <c r="I107" s="155"/>
      <c r="J107" s="157"/>
      <c r="BX107" s="59" t="s">
        <v>416</v>
      </c>
    </row>
    <row r="108" spans="1:76" ht="14.5" x14ac:dyDescent="0.35">
      <c r="A108" s="1" t="s">
        <v>417</v>
      </c>
      <c r="B108" s="2" t="s">
        <v>418</v>
      </c>
      <c r="C108" s="81" t="s">
        <v>419</v>
      </c>
      <c r="D108" s="75"/>
      <c r="E108" s="2" t="s">
        <v>300</v>
      </c>
      <c r="F108" s="14">
        <v>1</v>
      </c>
      <c r="G108" s="55">
        <v>0</v>
      </c>
      <c r="H108" s="14">
        <f>F108*AO108</f>
        <v>0</v>
      </c>
      <c r="I108" s="14">
        <f>F108*AP108</f>
        <v>0</v>
      </c>
      <c r="J108" s="56">
        <f>F108*G108</f>
        <v>0</v>
      </c>
      <c r="Z108" s="14">
        <f>IF(AQ108="5",BJ108,0)</f>
        <v>0</v>
      </c>
      <c r="AB108" s="14">
        <f>IF(AQ108="1",BH108,0)</f>
        <v>0</v>
      </c>
      <c r="AC108" s="14">
        <f>IF(AQ108="1",BI108,0)</f>
        <v>0</v>
      </c>
      <c r="AD108" s="14">
        <f>IF(AQ108="7",BH108,0)</f>
        <v>0</v>
      </c>
      <c r="AE108" s="14">
        <f>IF(AQ108="7",BI108,0)</f>
        <v>0</v>
      </c>
      <c r="AF108" s="14">
        <f>IF(AQ108="2",BH108,0)</f>
        <v>0</v>
      </c>
      <c r="AG108" s="14">
        <f>IF(AQ108="2",BI108,0)</f>
        <v>0</v>
      </c>
      <c r="AH108" s="14">
        <f>IF(AQ108="0",BJ108,0)</f>
        <v>0</v>
      </c>
      <c r="AI108" s="43" t="s">
        <v>19</v>
      </c>
      <c r="AJ108" s="14">
        <f>IF(AN108=0,J108,0)</f>
        <v>0</v>
      </c>
      <c r="AK108" s="14">
        <f>IF(AN108=12,J108,0)</f>
        <v>0</v>
      </c>
      <c r="AL108" s="14">
        <f>IF(AN108=21,J108,0)</f>
        <v>0</v>
      </c>
      <c r="AN108" s="14">
        <v>21</v>
      </c>
      <c r="AO108" s="14">
        <f>G108*0</f>
        <v>0</v>
      </c>
      <c r="AP108" s="14">
        <f>G108*(1-0)</f>
        <v>0</v>
      </c>
      <c r="AQ108" s="13" t="s">
        <v>205</v>
      </c>
      <c r="AV108" s="14">
        <f>AW108+AX108</f>
        <v>0</v>
      </c>
      <c r="AW108" s="14">
        <f>F108*AO108</f>
        <v>0</v>
      </c>
      <c r="AX108" s="14">
        <f>F108*AP108</f>
        <v>0</v>
      </c>
      <c r="AY108" s="13" t="s">
        <v>358</v>
      </c>
      <c r="AZ108" s="13" t="s">
        <v>275</v>
      </c>
      <c r="BA108" s="43" t="s">
        <v>182</v>
      </c>
      <c r="BC108" s="14">
        <f>AW108+AX108</f>
        <v>0</v>
      </c>
      <c r="BD108" s="14">
        <f>G108/(100-BE108)*100</f>
        <v>0</v>
      </c>
      <c r="BE108" s="14">
        <v>0</v>
      </c>
      <c r="BF108" s="14">
        <f>108</f>
        <v>108</v>
      </c>
      <c r="BH108" s="14">
        <f>F108*AO108</f>
        <v>0</v>
      </c>
      <c r="BI108" s="14">
        <f>F108*AP108</f>
        <v>0</v>
      </c>
      <c r="BJ108" s="14">
        <f>F108*G108</f>
        <v>0</v>
      </c>
      <c r="BK108" s="14"/>
      <c r="BL108" s="14">
        <v>725</v>
      </c>
      <c r="BW108" s="14">
        <v>21</v>
      </c>
      <c r="BX108" s="4" t="s">
        <v>419</v>
      </c>
    </row>
    <row r="109" spans="1:76" ht="14.5" x14ac:dyDescent="0.35">
      <c r="A109" s="60" t="s">
        <v>19</v>
      </c>
      <c r="B109" s="61" t="s">
        <v>43</v>
      </c>
      <c r="C109" s="165" t="s">
        <v>44</v>
      </c>
      <c r="D109" s="166"/>
      <c r="E109" s="62" t="s">
        <v>3</v>
      </c>
      <c r="F109" s="62" t="s">
        <v>3</v>
      </c>
      <c r="G109" s="69" t="s">
        <v>3</v>
      </c>
      <c r="H109" s="38">
        <f>SUM(H110:H122)</f>
        <v>0</v>
      </c>
      <c r="I109" s="38">
        <f>SUM(I110:I122)</f>
        <v>0</v>
      </c>
      <c r="J109" s="64">
        <f>SUM(J110:J122)</f>
        <v>0</v>
      </c>
      <c r="AI109" s="43" t="s">
        <v>19</v>
      </c>
      <c r="AS109" s="38">
        <f>SUM(AJ110:AJ122)</f>
        <v>0</v>
      </c>
      <c r="AT109" s="38">
        <f>SUM(AK110:AK122)</f>
        <v>0</v>
      </c>
      <c r="AU109" s="38">
        <f>SUM(AL110:AL122)</f>
        <v>0</v>
      </c>
    </row>
    <row r="110" spans="1:76" ht="14.5" x14ac:dyDescent="0.35">
      <c r="A110" s="1" t="s">
        <v>420</v>
      </c>
      <c r="B110" s="2" t="s">
        <v>421</v>
      </c>
      <c r="C110" s="81" t="s">
        <v>422</v>
      </c>
      <c r="D110" s="75"/>
      <c r="E110" s="2" t="s">
        <v>273</v>
      </c>
      <c r="F110" s="14">
        <v>2</v>
      </c>
      <c r="G110" s="55">
        <v>0</v>
      </c>
      <c r="H110" s="14">
        <f t="shared" ref="H110:H122" si="72">F110*AO110</f>
        <v>0</v>
      </c>
      <c r="I110" s="14">
        <f t="shared" ref="I110:I122" si="73">F110*AP110</f>
        <v>0</v>
      </c>
      <c r="J110" s="56">
        <f t="shared" ref="J110:J122" si="74">F110*G110</f>
        <v>0</v>
      </c>
      <c r="Z110" s="14">
        <f t="shared" ref="Z110:Z122" si="75">IF(AQ110="5",BJ110,0)</f>
        <v>0</v>
      </c>
      <c r="AB110" s="14">
        <f t="shared" ref="AB110:AB122" si="76">IF(AQ110="1",BH110,0)</f>
        <v>0</v>
      </c>
      <c r="AC110" s="14">
        <f t="shared" ref="AC110:AC122" si="77">IF(AQ110="1",BI110,0)</f>
        <v>0</v>
      </c>
      <c r="AD110" s="14">
        <f t="shared" ref="AD110:AD122" si="78">IF(AQ110="7",BH110,0)</f>
        <v>0</v>
      </c>
      <c r="AE110" s="14">
        <f t="shared" ref="AE110:AE122" si="79">IF(AQ110="7",BI110,0)</f>
        <v>0</v>
      </c>
      <c r="AF110" s="14">
        <f t="shared" ref="AF110:AF122" si="80">IF(AQ110="2",BH110,0)</f>
        <v>0</v>
      </c>
      <c r="AG110" s="14">
        <f t="shared" ref="AG110:AG122" si="81">IF(AQ110="2",BI110,0)</f>
        <v>0</v>
      </c>
      <c r="AH110" s="14">
        <f t="shared" ref="AH110:AH122" si="82">IF(AQ110="0",BJ110,0)</f>
        <v>0</v>
      </c>
      <c r="AI110" s="43" t="s">
        <v>19</v>
      </c>
      <c r="AJ110" s="14">
        <f t="shared" ref="AJ110:AJ122" si="83">IF(AN110=0,J110,0)</f>
        <v>0</v>
      </c>
      <c r="AK110" s="14">
        <f t="shared" ref="AK110:AK122" si="84">IF(AN110=12,J110,0)</f>
        <v>0</v>
      </c>
      <c r="AL110" s="14">
        <f t="shared" ref="AL110:AL122" si="85">IF(AN110=21,J110,0)</f>
        <v>0</v>
      </c>
      <c r="AN110" s="14">
        <v>21</v>
      </c>
      <c r="AO110" s="14">
        <f t="shared" ref="AO110:AO122" si="86">G110*0</f>
        <v>0</v>
      </c>
      <c r="AP110" s="14">
        <f t="shared" ref="AP110:AP122" si="87">G110*(1-0)</f>
        <v>0</v>
      </c>
      <c r="AQ110" s="13" t="s">
        <v>205</v>
      </c>
      <c r="AV110" s="14">
        <f t="shared" ref="AV110:AV122" si="88">AW110+AX110</f>
        <v>0</v>
      </c>
      <c r="AW110" s="14">
        <f t="shared" ref="AW110:AW122" si="89">F110*AO110</f>
        <v>0</v>
      </c>
      <c r="AX110" s="14">
        <f t="shared" ref="AX110:AX122" si="90">F110*AP110</f>
        <v>0</v>
      </c>
      <c r="AY110" s="13" t="s">
        <v>423</v>
      </c>
      <c r="AZ110" s="13" t="s">
        <v>275</v>
      </c>
      <c r="BA110" s="43" t="s">
        <v>182</v>
      </c>
      <c r="BC110" s="14">
        <f t="shared" ref="BC110:BC122" si="91">AW110+AX110</f>
        <v>0</v>
      </c>
      <c r="BD110" s="14">
        <f t="shared" ref="BD110:BD122" si="92">G110/(100-BE110)*100</f>
        <v>0</v>
      </c>
      <c r="BE110" s="14">
        <v>0</v>
      </c>
      <c r="BF110" s="14">
        <f>110</f>
        <v>110</v>
      </c>
      <c r="BH110" s="14">
        <f t="shared" ref="BH110:BH122" si="93">F110*AO110</f>
        <v>0</v>
      </c>
      <c r="BI110" s="14">
        <f t="shared" ref="BI110:BI122" si="94">F110*AP110</f>
        <v>0</v>
      </c>
      <c r="BJ110" s="14">
        <f t="shared" ref="BJ110:BJ122" si="95">F110*G110</f>
        <v>0</v>
      </c>
      <c r="BK110" s="14"/>
      <c r="BL110" s="14">
        <v>728</v>
      </c>
      <c r="BW110" s="14">
        <v>21</v>
      </c>
      <c r="BX110" s="4" t="s">
        <v>422</v>
      </c>
    </row>
    <row r="111" spans="1:76" ht="14.5" x14ac:dyDescent="0.35">
      <c r="A111" s="1" t="s">
        <v>424</v>
      </c>
      <c r="B111" s="2" t="s">
        <v>425</v>
      </c>
      <c r="C111" s="81" t="s">
        <v>426</v>
      </c>
      <c r="D111" s="75"/>
      <c r="E111" s="2" t="s">
        <v>273</v>
      </c>
      <c r="F111" s="14">
        <v>4</v>
      </c>
      <c r="G111" s="55">
        <v>0</v>
      </c>
      <c r="H111" s="14">
        <f t="shared" si="72"/>
        <v>0</v>
      </c>
      <c r="I111" s="14">
        <f t="shared" si="73"/>
        <v>0</v>
      </c>
      <c r="J111" s="56">
        <f t="shared" si="74"/>
        <v>0</v>
      </c>
      <c r="Z111" s="14">
        <f t="shared" si="75"/>
        <v>0</v>
      </c>
      <c r="AB111" s="14">
        <f t="shared" si="76"/>
        <v>0</v>
      </c>
      <c r="AC111" s="14">
        <f t="shared" si="77"/>
        <v>0</v>
      </c>
      <c r="AD111" s="14">
        <f t="shared" si="78"/>
        <v>0</v>
      </c>
      <c r="AE111" s="14">
        <f t="shared" si="79"/>
        <v>0</v>
      </c>
      <c r="AF111" s="14">
        <f t="shared" si="80"/>
        <v>0</v>
      </c>
      <c r="AG111" s="14">
        <f t="shared" si="81"/>
        <v>0</v>
      </c>
      <c r="AH111" s="14">
        <f t="shared" si="82"/>
        <v>0</v>
      </c>
      <c r="AI111" s="43" t="s">
        <v>19</v>
      </c>
      <c r="AJ111" s="14">
        <f t="shared" si="83"/>
        <v>0</v>
      </c>
      <c r="AK111" s="14">
        <f t="shared" si="84"/>
        <v>0</v>
      </c>
      <c r="AL111" s="14">
        <f t="shared" si="85"/>
        <v>0</v>
      </c>
      <c r="AN111" s="14">
        <v>21</v>
      </c>
      <c r="AO111" s="14">
        <f t="shared" si="86"/>
        <v>0</v>
      </c>
      <c r="AP111" s="14">
        <f t="shared" si="87"/>
        <v>0</v>
      </c>
      <c r="AQ111" s="13" t="s">
        <v>205</v>
      </c>
      <c r="AV111" s="14">
        <f t="shared" si="88"/>
        <v>0</v>
      </c>
      <c r="AW111" s="14">
        <f t="shared" si="89"/>
        <v>0</v>
      </c>
      <c r="AX111" s="14">
        <f t="shared" si="90"/>
        <v>0</v>
      </c>
      <c r="AY111" s="13" t="s">
        <v>423</v>
      </c>
      <c r="AZ111" s="13" t="s">
        <v>275</v>
      </c>
      <c r="BA111" s="43" t="s">
        <v>182</v>
      </c>
      <c r="BC111" s="14">
        <f t="shared" si="91"/>
        <v>0</v>
      </c>
      <c r="BD111" s="14">
        <f t="shared" si="92"/>
        <v>0</v>
      </c>
      <c r="BE111" s="14">
        <v>0</v>
      </c>
      <c r="BF111" s="14">
        <f>111</f>
        <v>111</v>
      </c>
      <c r="BH111" s="14">
        <f t="shared" si="93"/>
        <v>0</v>
      </c>
      <c r="BI111" s="14">
        <f t="shared" si="94"/>
        <v>0</v>
      </c>
      <c r="BJ111" s="14">
        <f t="shared" si="95"/>
        <v>0</v>
      </c>
      <c r="BK111" s="14"/>
      <c r="BL111" s="14">
        <v>728</v>
      </c>
      <c r="BW111" s="14">
        <v>21</v>
      </c>
      <c r="BX111" s="4" t="s">
        <v>426</v>
      </c>
    </row>
    <row r="112" spans="1:76" ht="14.5" x14ac:dyDescent="0.35">
      <c r="A112" s="1" t="s">
        <v>427</v>
      </c>
      <c r="B112" s="2" t="s">
        <v>428</v>
      </c>
      <c r="C112" s="81" t="s">
        <v>786</v>
      </c>
      <c r="D112" s="75"/>
      <c r="E112" s="2" t="s">
        <v>430</v>
      </c>
      <c r="F112" s="14">
        <v>4</v>
      </c>
      <c r="G112" s="55">
        <v>0</v>
      </c>
      <c r="H112" s="14">
        <f t="shared" si="72"/>
        <v>0</v>
      </c>
      <c r="I112" s="14">
        <f t="shared" si="73"/>
        <v>0</v>
      </c>
      <c r="J112" s="56">
        <f t="shared" si="74"/>
        <v>0</v>
      </c>
      <c r="Z112" s="14">
        <f t="shared" si="75"/>
        <v>0</v>
      </c>
      <c r="AB112" s="14">
        <f t="shared" si="76"/>
        <v>0</v>
      </c>
      <c r="AC112" s="14">
        <f t="shared" si="77"/>
        <v>0</v>
      </c>
      <c r="AD112" s="14">
        <f t="shared" si="78"/>
        <v>0</v>
      </c>
      <c r="AE112" s="14">
        <f t="shared" si="79"/>
        <v>0</v>
      </c>
      <c r="AF112" s="14">
        <f t="shared" si="80"/>
        <v>0</v>
      </c>
      <c r="AG112" s="14">
        <f t="shared" si="81"/>
        <v>0</v>
      </c>
      <c r="AH112" s="14">
        <f t="shared" si="82"/>
        <v>0</v>
      </c>
      <c r="AI112" s="43" t="s">
        <v>19</v>
      </c>
      <c r="AJ112" s="14">
        <f t="shared" si="83"/>
        <v>0</v>
      </c>
      <c r="AK112" s="14">
        <f t="shared" si="84"/>
        <v>0</v>
      </c>
      <c r="AL112" s="14">
        <f t="shared" si="85"/>
        <v>0</v>
      </c>
      <c r="AN112" s="14">
        <v>21</v>
      </c>
      <c r="AO112" s="14">
        <f t="shared" si="86"/>
        <v>0</v>
      </c>
      <c r="AP112" s="14">
        <f t="shared" si="87"/>
        <v>0</v>
      </c>
      <c r="AQ112" s="13" t="s">
        <v>205</v>
      </c>
      <c r="AV112" s="14">
        <f t="shared" si="88"/>
        <v>0</v>
      </c>
      <c r="AW112" s="14">
        <f t="shared" si="89"/>
        <v>0</v>
      </c>
      <c r="AX112" s="14">
        <f t="shared" si="90"/>
        <v>0</v>
      </c>
      <c r="AY112" s="13" t="s">
        <v>423</v>
      </c>
      <c r="AZ112" s="13" t="s">
        <v>275</v>
      </c>
      <c r="BA112" s="43" t="s">
        <v>182</v>
      </c>
      <c r="BC112" s="14">
        <f t="shared" si="91"/>
        <v>0</v>
      </c>
      <c r="BD112" s="14">
        <f t="shared" si="92"/>
        <v>0</v>
      </c>
      <c r="BE112" s="14">
        <v>0</v>
      </c>
      <c r="BF112" s="14">
        <f>112</f>
        <v>112</v>
      </c>
      <c r="BH112" s="14">
        <f t="shared" si="93"/>
        <v>0</v>
      </c>
      <c r="BI112" s="14">
        <f t="shared" si="94"/>
        <v>0</v>
      </c>
      <c r="BJ112" s="14">
        <f t="shared" si="95"/>
        <v>0</v>
      </c>
      <c r="BK112" s="14"/>
      <c r="BL112" s="14">
        <v>728</v>
      </c>
      <c r="BW112" s="14">
        <v>21</v>
      </c>
      <c r="BX112" s="4" t="s">
        <v>429</v>
      </c>
    </row>
    <row r="113" spans="1:76" ht="14.5" x14ac:dyDescent="0.35">
      <c r="A113" s="1" t="s">
        <v>431</v>
      </c>
      <c r="B113" s="2" t="s">
        <v>432</v>
      </c>
      <c r="C113" s="81" t="s">
        <v>787</v>
      </c>
      <c r="D113" s="75"/>
      <c r="E113" s="2" t="s">
        <v>430</v>
      </c>
      <c r="F113" s="14">
        <v>1</v>
      </c>
      <c r="G113" s="55">
        <v>0</v>
      </c>
      <c r="H113" s="14">
        <f t="shared" si="72"/>
        <v>0</v>
      </c>
      <c r="I113" s="14">
        <f t="shared" si="73"/>
        <v>0</v>
      </c>
      <c r="J113" s="56">
        <f t="shared" si="74"/>
        <v>0</v>
      </c>
      <c r="Z113" s="14">
        <f t="shared" si="75"/>
        <v>0</v>
      </c>
      <c r="AB113" s="14">
        <f t="shared" si="76"/>
        <v>0</v>
      </c>
      <c r="AC113" s="14">
        <f t="shared" si="77"/>
        <v>0</v>
      </c>
      <c r="AD113" s="14">
        <f t="shared" si="78"/>
        <v>0</v>
      </c>
      <c r="AE113" s="14">
        <f t="shared" si="79"/>
        <v>0</v>
      </c>
      <c r="AF113" s="14">
        <f t="shared" si="80"/>
        <v>0</v>
      </c>
      <c r="AG113" s="14">
        <f t="shared" si="81"/>
        <v>0</v>
      </c>
      <c r="AH113" s="14">
        <f t="shared" si="82"/>
        <v>0</v>
      </c>
      <c r="AI113" s="43" t="s">
        <v>19</v>
      </c>
      <c r="AJ113" s="14">
        <f t="shared" si="83"/>
        <v>0</v>
      </c>
      <c r="AK113" s="14">
        <f t="shared" si="84"/>
        <v>0</v>
      </c>
      <c r="AL113" s="14">
        <f t="shared" si="85"/>
        <v>0</v>
      </c>
      <c r="AN113" s="14">
        <v>21</v>
      </c>
      <c r="AO113" s="14">
        <f t="shared" si="86"/>
        <v>0</v>
      </c>
      <c r="AP113" s="14">
        <f t="shared" si="87"/>
        <v>0</v>
      </c>
      <c r="AQ113" s="13" t="s">
        <v>205</v>
      </c>
      <c r="AV113" s="14">
        <f t="shared" si="88"/>
        <v>0</v>
      </c>
      <c r="AW113" s="14">
        <f t="shared" si="89"/>
        <v>0</v>
      </c>
      <c r="AX113" s="14">
        <f t="shared" si="90"/>
        <v>0</v>
      </c>
      <c r="AY113" s="13" t="s">
        <v>423</v>
      </c>
      <c r="AZ113" s="13" t="s">
        <v>275</v>
      </c>
      <c r="BA113" s="43" t="s">
        <v>182</v>
      </c>
      <c r="BC113" s="14">
        <f t="shared" si="91"/>
        <v>0</v>
      </c>
      <c r="BD113" s="14">
        <f t="shared" si="92"/>
        <v>0</v>
      </c>
      <c r="BE113" s="14">
        <v>0</v>
      </c>
      <c r="BF113" s="14">
        <f>113</f>
        <v>113</v>
      </c>
      <c r="BH113" s="14">
        <f t="shared" si="93"/>
        <v>0</v>
      </c>
      <c r="BI113" s="14">
        <f t="shared" si="94"/>
        <v>0</v>
      </c>
      <c r="BJ113" s="14">
        <f t="shared" si="95"/>
        <v>0</v>
      </c>
      <c r="BK113" s="14"/>
      <c r="BL113" s="14">
        <v>728</v>
      </c>
      <c r="BW113" s="14">
        <v>21</v>
      </c>
      <c r="BX113" s="4" t="s">
        <v>433</v>
      </c>
    </row>
    <row r="114" spans="1:76" ht="14.5" x14ac:dyDescent="0.35">
      <c r="A114" s="1" t="s">
        <v>434</v>
      </c>
      <c r="B114" s="2" t="s">
        <v>435</v>
      </c>
      <c r="C114" s="81" t="s">
        <v>788</v>
      </c>
      <c r="D114" s="75"/>
      <c r="E114" s="2" t="s">
        <v>430</v>
      </c>
      <c r="F114" s="14">
        <v>3</v>
      </c>
      <c r="G114" s="55">
        <v>0</v>
      </c>
      <c r="H114" s="14">
        <f t="shared" si="72"/>
        <v>0</v>
      </c>
      <c r="I114" s="14">
        <f t="shared" si="73"/>
        <v>0</v>
      </c>
      <c r="J114" s="56">
        <f t="shared" si="74"/>
        <v>0</v>
      </c>
      <c r="Z114" s="14">
        <f t="shared" si="75"/>
        <v>0</v>
      </c>
      <c r="AB114" s="14">
        <f t="shared" si="76"/>
        <v>0</v>
      </c>
      <c r="AC114" s="14">
        <f t="shared" si="77"/>
        <v>0</v>
      </c>
      <c r="AD114" s="14">
        <f t="shared" si="78"/>
        <v>0</v>
      </c>
      <c r="AE114" s="14">
        <f t="shared" si="79"/>
        <v>0</v>
      </c>
      <c r="AF114" s="14">
        <f t="shared" si="80"/>
        <v>0</v>
      </c>
      <c r="AG114" s="14">
        <f t="shared" si="81"/>
        <v>0</v>
      </c>
      <c r="AH114" s="14">
        <f t="shared" si="82"/>
        <v>0</v>
      </c>
      <c r="AI114" s="43" t="s">
        <v>19</v>
      </c>
      <c r="AJ114" s="14">
        <f t="shared" si="83"/>
        <v>0</v>
      </c>
      <c r="AK114" s="14">
        <f t="shared" si="84"/>
        <v>0</v>
      </c>
      <c r="AL114" s="14">
        <f t="shared" si="85"/>
        <v>0</v>
      </c>
      <c r="AN114" s="14">
        <v>21</v>
      </c>
      <c r="AO114" s="14">
        <f t="shared" si="86"/>
        <v>0</v>
      </c>
      <c r="AP114" s="14">
        <f t="shared" si="87"/>
        <v>0</v>
      </c>
      <c r="AQ114" s="13" t="s">
        <v>205</v>
      </c>
      <c r="AV114" s="14">
        <f t="shared" si="88"/>
        <v>0</v>
      </c>
      <c r="AW114" s="14">
        <f t="shared" si="89"/>
        <v>0</v>
      </c>
      <c r="AX114" s="14">
        <f t="shared" si="90"/>
        <v>0</v>
      </c>
      <c r="AY114" s="13" t="s">
        <v>423</v>
      </c>
      <c r="AZ114" s="13" t="s">
        <v>275</v>
      </c>
      <c r="BA114" s="43" t="s">
        <v>182</v>
      </c>
      <c r="BC114" s="14">
        <f t="shared" si="91"/>
        <v>0</v>
      </c>
      <c r="BD114" s="14">
        <f t="shared" si="92"/>
        <v>0</v>
      </c>
      <c r="BE114" s="14">
        <v>0</v>
      </c>
      <c r="BF114" s="14">
        <f>114</f>
        <v>114</v>
      </c>
      <c r="BH114" s="14">
        <f t="shared" si="93"/>
        <v>0</v>
      </c>
      <c r="BI114" s="14">
        <f t="shared" si="94"/>
        <v>0</v>
      </c>
      <c r="BJ114" s="14">
        <f t="shared" si="95"/>
        <v>0</v>
      </c>
      <c r="BK114" s="14"/>
      <c r="BL114" s="14">
        <v>728</v>
      </c>
      <c r="BW114" s="14">
        <v>21</v>
      </c>
      <c r="BX114" s="4" t="s">
        <v>436</v>
      </c>
    </row>
    <row r="115" spans="1:76" ht="14.5" x14ac:dyDescent="0.35">
      <c r="A115" s="1" t="s">
        <v>437</v>
      </c>
      <c r="B115" s="2" t="s">
        <v>438</v>
      </c>
      <c r="C115" s="81" t="s">
        <v>439</v>
      </c>
      <c r="D115" s="75"/>
      <c r="E115" s="2" t="s">
        <v>430</v>
      </c>
      <c r="F115" s="14">
        <v>3</v>
      </c>
      <c r="G115" s="55">
        <v>0</v>
      </c>
      <c r="H115" s="14">
        <f t="shared" si="72"/>
        <v>0</v>
      </c>
      <c r="I115" s="14">
        <f t="shared" si="73"/>
        <v>0</v>
      </c>
      <c r="J115" s="56">
        <f t="shared" si="74"/>
        <v>0</v>
      </c>
      <c r="Z115" s="14">
        <f t="shared" si="75"/>
        <v>0</v>
      </c>
      <c r="AB115" s="14">
        <f t="shared" si="76"/>
        <v>0</v>
      </c>
      <c r="AC115" s="14">
        <f t="shared" si="77"/>
        <v>0</v>
      </c>
      <c r="AD115" s="14">
        <f t="shared" si="78"/>
        <v>0</v>
      </c>
      <c r="AE115" s="14">
        <f t="shared" si="79"/>
        <v>0</v>
      </c>
      <c r="AF115" s="14">
        <f t="shared" si="80"/>
        <v>0</v>
      </c>
      <c r="AG115" s="14">
        <f t="shared" si="81"/>
        <v>0</v>
      </c>
      <c r="AH115" s="14">
        <f t="shared" si="82"/>
        <v>0</v>
      </c>
      <c r="AI115" s="43" t="s">
        <v>19</v>
      </c>
      <c r="AJ115" s="14">
        <f t="shared" si="83"/>
        <v>0</v>
      </c>
      <c r="AK115" s="14">
        <f t="shared" si="84"/>
        <v>0</v>
      </c>
      <c r="AL115" s="14">
        <f t="shared" si="85"/>
        <v>0</v>
      </c>
      <c r="AN115" s="14">
        <v>21</v>
      </c>
      <c r="AO115" s="14">
        <f t="shared" si="86"/>
        <v>0</v>
      </c>
      <c r="AP115" s="14">
        <f t="shared" si="87"/>
        <v>0</v>
      </c>
      <c r="AQ115" s="13" t="s">
        <v>205</v>
      </c>
      <c r="AV115" s="14">
        <f t="shared" si="88"/>
        <v>0</v>
      </c>
      <c r="AW115" s="14">
        <f t="shared" si="89"/>
        <v>0</v>
      </c>
      <c r="AX115" s="14">
        <f t="shared" si="90"/>
        <v>0</v>
      </c>
      <c r="AY115" s="13" t="s">
        <v>423</v>
      </c>
      <c r="AZ115" s="13" t="s">
        <v>275</v>
      </c>
      <c r="BA115" s="43" t="s">
        <v>182</v>
      </c>
      <c r="BC115" s="14">
        <f t="shared" si="91"/>
        <v>0</v>
      </c>
      <c r="BD115" s="14">
        <f t="shared" si="92"/>
        <v>0</v>
      </c>
      <c r="BE115" s="14">
        <v>0</v>
      </c>
      <c r="BF115" s="14">
        <f>115</f>
        <v>115</v>
      </c>
      <c r="BH115" s="14">
        <f t="shared" si="93"/>
        <v>0</v>
      </c>
      <c r="BI115" s="14">
        <f t="shared" si="94"/>
        <v>0</v>
      </c>
      <c r="BJ115" s="14">
        <f t="shared" si="95"/>
        <v>0</v>
      </c>
      <c r="BK115" s="14"/>
      <c r="BL115" s="14">
        <v>728</v>
      </c>
      <c r="BW115" s="14">
        <v>21</v>
      </c>
      <c r="BX115" s="4" t="s">
        <v>439</v>
      </c>
    </row>
    <row r="116" spans="1:76" ht="14.5" x14ac:dyDescent="0.35">
      <c r="A116" s="1" t="s">
        <v>440</v>
      </c>
      <c r="B116" s="2" t="s">
        <v>441</v>
      </c>
      <c r="C116" s="81" t="s">
        <v>442</v>
      </c>
      <c r="D116" s="75"/>
      <c r="E116" s="2" t="s">
        <v>430</v>
      </c>
      <c r="F116" s="14">
        <v>6</v>
      </c>
      <c r="G116" s="55">
        <v>0</v>
      </c>
      <c r="H116" s="14">
        <f t="shared" si="72"/>
        <v>0</v>
      </c>
      <c r="I116" s="14">
        <f t="shared" si="73"/>
        <v>0</v>
      </c>
      <c r="J116" s="56">
        <f t="shared" si="74"/>
        <v>0</v>
      </c>
      <c r="Z116" s="14">
        <f t="shared" si="75"/>
        <v>0</v>
      </c>
      <c r="AB116" s="14">
        <f t="shared" si="76"/>
        <v>0</v>
      </c>
      <c r="AC116" s="14">
        <f t="shared" si="77"/>
        <v>0</v>
      </c>
      <c r="AD116" s="14">
        <f t="shared" si="78"/>
        <v>0</v>
      </c>
      <c r="AE116" s="14">
        <f t="shared" si="79"/>
        <v>0</v>
      </c>
      <c r="AF116" s="14">
        <f t="shared" si="80"/>
        <v>0</v>
      </c>
      <c r="AG116" s="14">
        <f t="shared" si="81"/>
        <v>0</v>
      </c>
      <c r="AH116" s="14">
        <f t="shared" si="82"/>
        <v>0</v>
      </c>
      <c r="AI116" s="43" t="s">
        <v>19</v>
      </c>
      <c r="AJ116" s="14">
        <f t="shared" si="83"/>
        <v>0</v>
      </c>
      <c r="AK116" s="14">
        <f t="shared" si="84"/>
        <v>0</v>
      </c>
      <c r="AL116" s="14">
        <f t="shared" si="85"/>
        <v>0</v>
      </c>
      <c r="AN116" s="14">
        <v>21</v>
      </c>
      <c r="AO116" s="14">
        <f t="shared" si="86"/>
        <v>0</v>
      </c>
      <c r="AP116" s="14">
        <f t="shared" si="87"/>
        <v>0</v>
      </c>
      <c r="AQ116" s="13" t="s">
        <v>205</v>
      </c>
      <c r="AV116" s="14">
        <f t="shared" si="88"/>
        <v>0</v>
      </c>
      <c r="AW116" s="14">
        <f t="shared" si="89"/>
        <v>0</v>
      </c>
      <c r="AX116" s="14">
        <f t="shared" si="90"/>
        <v>0</v>
      </c>
      <c r="AY116" s="13" t="s">
        <v>423</v>
      </c>
      <c r="AZ116" s="13" t="s">
        <v>275</v>
      </c>
      <c r="BA116" s="43" t="s">
        <v>182</v>
      </c>
      <c r="BC116" s="14">
        <f t="shared" si="91"/>
        <v>0</v>
      </c>
      <c r="BD116" s="14">
        <f t="shared" si="92"/>
        <v>0</v>
      </c>
      <c r="BE116" s="14">
        <v>0</v>
      </c>
      <c r="BF116" s="14">
        <f>116</f>
        <v>116</v>
      </c>
      <c r="BH116" s="14">
        <f t="shared" si="93"/>
        <v>0</v>
      </c>
      <c r="BI116" s="14">
        <f t="shared" si="94"/>
        <v>0</v>
      </c>
      <c r="BJ116" s="14">
        <f t="shared" si="95"/>
        <v>0</v>
      </c>
      <c r="BK116" s="14"/>
      <c r="BL116" s="14">
        <v>728</v>
      </c>
      <c r="BW116" s="14">
        <v>21</v>
      </c>
      <c r="BX116" s="4" t="s">
        <v>442</v>
      </c>
    </row>
    <row r="117" spans="1:76" ht="14.5" x14ac:dyDescent="0.35">
      <c r="A117" s="1" t="s">
        <v>443</v>
      </c>
      <c r="B117" s="2" t="s">
        <v>444</v>
      </c>
      <c r="C117" s="81" t="s">
        <v>445</v>
      </c>
      <c r="D117" s="75"/>
      <c r="E117" s="2" t="s">
        <v>203</v>
      </c>
      <c r="F117" s="14">
        <v>1</v>
      </c>
      <c r="G117" s="55">
        <v>0</v>
      </c>
      <c r="H117" s="14">
        <f t="shared" si="72"/>
        <v>0</v>
      </c>
      <c r="I117" s="14">
        <f t="shared" si="73"/>
        <v>0</v>
      </c>
      <c r="J117" s="56">
        <f t="shared" si="74"/>
        <v>0</v>
      </c>
      <c r="Z117" s="14">
        <f t="shared" si="75"/>
        <v>0</v>
      </c>
      <c r="AB117" s="14">
        <f t="shared" si="76"/>
        <v>0</v>
      </c>
      <c r="AC117" s="14">
        <f t="shared" si="77"/>
        <v>0</v>
      </c>
      <c r="AD117" s="14">
        <f t="shared" si="78"/>
        <v>0</v>
      </c>
      <c r="AE117" s="14">
        <f t="shared" si="79"/>
        <v>0</v>
      </c>
      <c r="AF117" s="14">
        <f t="shared" si="80"/>
        <v>0</v>
      </c>
      <c r="AG117" s="14">
        <f t="shared" si="81"/>
        <v>0</v>
      </c>
      <c r="AH117" s="14">
        <f t="shared" si="82"/>
        <v>0</v>
      </c>
      <c r="AI117" s="43" t="s">
        <v>19</v>
      </c>
      <c r="AJ117" s="14">
        <f t="shared" si="83"/>
        <v>0</v>
      </c>
      <c r="AK117" s="14">
        <f t="shared" si="84"/>
        <v>0</v>
      </c>
      <c r="AL117" s="14">
        <f t="shared" si="85"/>
        <v>0</v>
      </c>
      <c r="AN117" s="14">
        <v>21</v>
      </c>
      <c r="AO117" s="14">
        <f t="shared" si="86"/>
        <v>0</v>
      </c>
      <c r="AP117" s="14">
        <f t="shared" si="87"/>
        <v>0</v>
      </c>
      <c r="AQ117" s="13" t="s">
        <v>205</v>
      </c>
      <c r="AV117" s="14">
        <f t="shared" si="88"/>
        <v>0</v>
      </c>
      <c r="AW117" s="14">
        <f t="shared" si="89"/>
        <v>0</v>
      </c>
      <c r="AX117" s="14">
        <f t="shared" si="90"/>
        <v>0</v>
      </c>
      <c r="AY117" s="13" t="s">
        <v>423</v>
      </c>
      <c r="AZ117" s="13" t="s">
        <v>275</v>
      </c>
      <c r="BA117" s="43" t="s">
        <v>182</v>
      </c>
      <c r="BC117" s="14">
        <f t="shared" si="91"/>
        <v>0</v>
      </c>
      <c r="BD117" s="14">
        <f t="shared" si="92"/>
        <v>0</v>
      </c>
      <c r="BE117" s="14">
        <v>0</v>
      </c>
      <c r="BF117" s="14">
        <f>117</f>
        <v>117</v>
      </c>
      <c r="BH117" s="14">
        <f t="shared" si="93"/>
        <v>0</v>
      </c>
      <c r="BI117" s="14">
        <f t="shared" si="94"/>
        <v>0</v>
      </c>
      <c r="BJ117" s="14">
        <f t="shared" si="95"/>
        <v>0</v>
      </c>
      <c r="BK117" s="14"/>
      <c r="BL117" s="14">
        <v>728</v>
      </c>
      <c r="BW117" s="14">
        <v>21</v>
      </c>
      <c r="BX117" s="4" t="s">
        <v>445</v>
      </c>
    </row>
    <row r="118" spans="1:76" ht="14.5" x14ac:dyDescent="0.35">
      <c r="A118" s="1" t="s">
        <v>446</v>
      </c>
      <c r="B118" s="2" t="s">
        <v>447</v>
      </c>
      <c r="C118" s="81" t="s">
        <v>448</v>
      </c>
      <c r="D118" s="75"/>
      <c r="E118" s="2" t="s">
        <v>300</v>
      </c>
      <c r="F118" s="14">
        <v>1</v>
      </c>
      <c r="G118" s="55">
        <v>0</v>
      </c>
      <c r="H118" s="14">
        <f t="shared" si="72"/>
        <v>0</v>
      </c>
      <c r="I118" s="14">
        <f t="shared" si="73"/>
        <v>0</v>
      </c>
      <c r="J118" s="56">
        <f t="shared" si="74"/>
        <v>0</v>
      </c>
      <c r="Z118" s="14">
        <f t="shared" si="75"/>
        <v>0</v>
      </c>
      <c r="AB118" s="14">
        <f t="shared" si="76"/>
        <v>0</v>
      </c>
      <c r="AC118" s="14">
        <f t="shared" si="77"/>
        <v>0</v>
      </c>
      <c r="AD118" s="14">
        <f t="shared" si="78"/>
        <v>0</v>
      </c>
      <c r="AE118" s="14">
        <f t="shared" si="79"/>
        <v>0</v>
      </c>
      <c r="AF118" s="14">
        <f t="shared" si="80"/>
        <v>0</v>
      </c>
      <c r="AG118" s="14">
        <f t="shared" si="81"/>
        <v>0</v>
      </c>
      <c r="AH118" s="14">
        <f t="shared" si="82"/>
        <v>0</v>
      </c>
      <c r="AI118" s="43" t="s">
        <v>19</v>
      </c>
      <c r="AJ118" s="14">
        <f t="shared" si="83"/>
        <v>0</v>
      </c>
      <c r="AK118" s="14">
        <f t="shared" si="84"/>
        <v>0</v>
      </c>
      <c r="AL118" s="14">
        <f t="shared" si="85"/>
        <v>0</v>
      </c>
      <c r="AN118" s="14">
        <v>21</v>
      </c>
      <c r="AO118" s="14">
        <f t="shared" si="86"/>
        <v>0</v>
      </c>
      <c r="AP118" s="14">
        <f t="shared" si="87"/>
        <v>0</v>
      </c>
      <c r="AQ118" s="13" t="s">
        <v>205</v>
      </c>
      <c r="AV118" s="14">
        <f t="shared" si="88"/>
        <v>0</v>
      </c>
      <c r="AW118" s="14">
        <f t="shared" si="89"/>
        <v>0</v>
      </c>
      <c r="AX118" s="14">
        <f t="shared" si="90"/>
        <v>0</v>
      </c>
      <c r="AY118" s="13" t="s">
        <v>423</v>
      </c>
      <c r="AZ118" s="13" t="s">
        <v>275</v>
      </c>
      <c r="BA118" s="43" t="s">
        <v>182</v>
      </c>
      <c r="BC118" s="14">
        <f t="shared" si="91"/>
        <v>0</v>
      </c>
      <c r="BD118" s="14">
        <f t="shared" si="92"/>
        <v>0</v>
      </c>
      <c r="BE118" s="14">
        <v>0</v>
      </c>
      <c r="BF118" s="14">
        <f>118</f>
        <v>118</v>
      </c>
      <c r="BH118" s="14">
        <f t="shared" si="93"/>
        <v>0</v>
      </c>
      <c r="BI118" s="14">
        <f t="shared" si="94"/>
        <v>0</v>
      </c>
      <c r="BJ118" s="14">
        <f t="shared" si="95"/>
        <v>0</v>
      </c>
      <c r="BK118" s="14"/>
      <c r="BL118" s="14">
        <v>728</v>
      </c>
      <c r="BW118" s="14">
        <v>21</v>
      </c>
      <c r="BX118" s="4" t="s">
        <v>448</v>
      </c>
    </row>
    <row r="119" spans="1:76" ht="14.5" x14ac:dyDescent="0.35">
      <c r="A119" s="1" t="s">
        <v>449</v>
      </c>
      <c r="B119" s="2" t="s">
        <v>450</v>
      </c>
      <c r="C119" s="81" t="s">
        <v>451</v>
      </c>
      <c r="D119" s="75"/>
      <c r="E119" s="2" t="s">
        <v>300</v>
      </c>
      <c r="F119" s="14">
        <v>1</v>
      </c>
      <c r="G119" s="55">
        <v>0</v>
      </c>
      <c r="H119" s="14">
        <f t="shared" si="72"/>
        <v>0</v>
      </c>
      <c r="I119" s="14">
        <f t="shared" si="73"/>
        <v>0</v>
      </c>
      <c r="J119" s="56">
        <f t="shared" si="74"/>
        <v>0</v>
      </c>
      <c r="Z119" s="14">
        <f t="shared" si="75"/>
        <v>0</v>
      </c>
      <c r="AB119" s="14">
        <f t="shared" si="76"/>
        <v>0</v>
      </c>
      <c r="AC119" s="14">
        <f t="shared" si="77"/>
        <v>0</v>
      </c>
      <c r="AD119" s="14">
        <f t="shared" si="78"/>
        <v>0</v>
      </c>
      <c r="AE119" s="14">
        <f t="shared" si="79"/>
        <v>0</v>
      </c>
      <c r="AF119" s="14">
        <f t="shared" si="80"/>
        <v>0</v>
      </c>
      <c r="AG119" s="14">
        <f t="shared" si="81"/>
        <v>0</v>
      </c>
      <c r="AH119" s="14">
        <f t="shared" si="82"/>
        <v>0</v>
      </c>
      <c r="AI119" s="43" t="s">
        <v>19</v>
      </c>
      <c r="AJ119" s="14">
        <f t="shared" si="83"/>
        <v>0</v>
      </c>
      <c r="AK119" s="14">
        <f t="shared" si="84"/>
        <v>0</v>
      </c>
      <c r="AL119" s="14">
        <f t="shared" si="85"/>
        <v>0</v>
      </c>
      <c r="AN119" s="14">
        <v>21</v>
      </c>
      <c r="AO119" s="14">
        <f t="shared" si="86"/>
        <v>0</v>
      </c>
      <c r="AP119" s="14">
        <f t="shared" si="87"/>
        <v>0</v>
      </c>
      <c r="AQ119" s="13" t="s">
        <v>205</v>
      </c>
      <c r="AV119" s="14">
        <f t="shared" si="88"/>
        <v>0</v>
      </c>
      <c r="AW119" s="14">
        <f t="shared" si="89"/>
        <v>0</v>
      </c>
      <c r="AX119" s="14">
        <f t="shared" si="90"/>
        <v>0</v>
      </c>
      <c r="AY119" s="13" t="s">
        <v>423</v>
      </c>
      <c r="AZ119" s="13" t="s">
        <v>275</v>
      </c>
      <c r="BA119" s="43" t="s">
        <v>182</v>
      </c>
      <c r="BC119" s="14">
        <f t="shared" si="91"/>
        <v>0</v>
      </c>
      <c r="BD119" s="14">
        <f t="shared" si="92"/>
        <v>0</v>
      </c>
      <c r="BE119" s="14">
        <v>0</v>
      </c>
      <c r="BF119" s="14">
        <f>119</f>
        <v>119</v>
      </c>
      <c r="BH119" s="14">
        <f t="shared" si="93"/>
        <v>0</v>
      </c>
      <c r="BI119" s="14">
        <f t="shared" si="94"/>
        <v>0</v>
      </c>
      <c r="BJ119" s="14">
        <f t="shared" si="95"/>
        <v>0</v>
      </c>
      <c r="BK119" s="14"/>
      <c r="BL119" s="14">
        <v>728</v>
      </c>
      <c r="BW119" s="14">
        <v>21</v>
      </c>
      <c r="BX119" s="4" t="s">
        <v>451</v>
      </c>
    </row>
    <row r="120" spans="1:76" ht="14.5" x14ac:dyDescent="0.35">
      <c r="A120" s="1" t="s">
        <v>452</v>
      </c>
      <c r="B120" s="2" t="s">
        <v>453</v>
      </c>
      <c r="C120" s="81" t="s">
        <v>454</v>
      </c>
      <c r="D120" s="75"/>
      <c r="E120" s="2" t="s">
        <v>300</v>
      </c>
      <c r="F120" s="14">
        <v>1</v>
      </c>
      <c r="G120" s="55">
        <v>0</v>
      </c>
      <c r="H120" s="14">
        <f t="shared" si="72"/>
        <v>0</v>
      </c>
      <c r="I120" s="14">
        <f t="shared" si="73"/>
        <v>0</v>
      </c>
      <c r="J120" s="56">
        <f t="shared" si="74"/>
        <v>0</v>
      </c>
      <c r="Z120" s="14">
        <f t="shared" si="75"/>
        <v>0</v>
      </c>
      <c r="AB120" s="14">
        <f t="shared" si="76"/>
        <v>0</v>
      </c>
      <c r="AC120" s="14">
        <f t="shared" si="77"/>
        <v>0</v>
      </c>
      <c r="AD120" s="14">
        <f t="shared" si="78"/>
        <v>0</v>
      </c>
      <c r="AE120" s="14">
        <f t="shared" si="79"/>
        <v>0</v>
      </c>
      <c r="AF120" s="14">
        <f t="shared" si="80"/>
        <v>0</v>
      </c>
      <c r="AG120" s="14">
        <f t="shared" si="81"/>
        <v>0</v>
      </c>
      <c r="AH120" s="14">
        <f t="shared" si="82"/>
        <v>0</v>
      </c>
      <c r="AI120" s="43" t="s">
        <v>19</v>
      </c>
      <c r="AJ120" s="14">
        <f t="shared" si="83"/>
        <v>0</v>
      </c>
      <c r="AK120" s="14">
        <f t="shared" si="84"/>
        <v>0</v>
      </c>
      <c r="AL120" s="14">
        <f t="shared" si="85"/>
        <v>0</v>
      </c>
      <c r="AN120" s="14">
        <v>21</v>
      </c>
      <c r="AO120" s="14">
        <f t="shared" si="86"/>
        <v>0</v>
      </c>
      <c r="AP120" s="14">
        <f t="shared" si="87"/>
        <v>0</v>
      </c>
      <c r="AQ120" s="13" t="s">
        <v>205</v>
      </c>
      <c r="AV120" s="14">
        <f t="shared" si="88"/>
        <v>0</v>
      </c>
      <c r="AW120" s="14">
        <f t="shared" si="89"/>
        <v>0</v>
      </c>
      <c r="AX120" s="14">
        <f t="shared" si="90"/>
        <v>0</v>
      </c>
      <c r="AY120" s="13" t="s">
        <v>423</v>
      </c>
      <c r="AZ120" s="13" t="s">
        <v>275</v>
      </c>
      <c r="BA120" s="43" t="s">
        <v>182</v>
      </c>
      <c r="BC120" s="14">
        <f t="shared" si="91"/>
        <v>0</v>
      </c>
      <c r="BD120" s="14">
        <f t="shared" si="92"/>
        <v>0</v>
      </c>
      <c r="BE120" s="14">
        <v>0</v>
      </c>
      <c r="BF120" s="14">
        <f>120</f>
        <v>120</v>
      </c>
      <c r="BH120" s="14">
        <f t="shared" si="93"/>
        <v>0</v>
      </c>
      <c r="BI120" s="14">
        <f t="shared" si="94"/>
        <v>0</v>
      </c>
      <c r="BJ120" s="14">
        <f t="shared" si="95"/>
        <v>0</v>
      </c>
      <c r="BK120" s="14"/>
      <c r="BL120" s="14">
        <v>728</v>
      </c>
      <c r="BW120" s="14">
        <v>21</v>
      </c>
      <c r="BX120" s="4" t="s">
        <v>454</v>
      </c>
    </row>
    <row r="121" spans="1:76" ht="14.5" x14ac:dyDescent="0.35">
      <c r="A121" s="1" t="s">
        <v>455</v>
      </c>
      <c r="B121" s="2" t="s">
        <v>456</v>
      </c>
      <c r="C121" s="81" t="s">
        <v>457</v>
      </c>
      <c r="D121" s="75"/>
      <c r="E121" s="2" t="s">
        <v>300</v>
      </c>
      <c r="F121" s="14">
        <v>1</v>
      </c>
      <c r="G121" s="55">
        <v>0</v>
      </c>
      <c r="H121" s="14">
        <f t="shared" si="72"/>
        <v>0</v>
      </c>
      <c r="I121" s="14">
        <f t="shared" si="73"/>
        <v>0</v>
      </c>
      <c r="J121" s="56">
        <f t="shared" si="74"/>
        <v>0</v>
      </c>
      <c r="Z121" s="14">
        <f t="shared" si="75"/>
        <v>0</v>
      </c>
      <c r="AB121" s="14">
        <f t="shared" si="76"/>
        <v>0</v>
      </c>
      <c r="AC121" s="14">
        <f t="shared" si="77"/>
        <v>0</v>
      </c>
      <c r="AD121" s="14">
        <f t="shared" si="78"/>
        <v>0</v>
      </c>
      <c r="AE121" s="14">
        <f t="shared" si="79"/>
        <v>0</v>
      </c>
      <c r="AF121" s="14">
        <f t="shared" si="80"/>
        <v>0</v>
      </c>
      <c r="AG121" s="14">
        <f t="shared" si="81"/>
        <v>0</v>
      </c>
      <c r="AH121" s="14">
        <f t="shared" si="82"/>
        <v>0</v>
      </c>
      <c r="AI121" s="43" t="s">
        <v>19</v>
      </c>
      <c r="AJ121" s="14">
        <f t="shared" si="83"/>
        <v>0</v>
      </c>
      <c r="AK121" s="14">
        <f t="shared" si="84"/>
        <v>0</v>
      </c>
      <c r="AL121" s="14">
        <f t="shared" si="85"/>
        <v>0</v>
      </c>
      <c r="AN121" s="14">
        <v>21</v>
      </c>
      <c r="AO121" s="14">
        <f t="shared" si="86"/>
        <v>0</v>
      </c>
      <c r="AP121" s="14">
        <f t="shared" si="87"/>
        <v>0</v>
      </c>
      <c r="AQ121" s="13" t="s">
        <v>205</v>
      </c>
      <c r="AV121" s="14">
        <f t="shared" si="88"/>
        <v>0</v>
      </c>
      <c r="AW121" s="14">
        <f t="shared" si="89"/>
        <v>0</v>
      </c>
      <c r="AX121" s="14">
        <f t="shared" si="90"/>
        <v>0</v>
      </c>
      <c r="AY121" s="13" t="s">
        <v>423</v>
      </c>
      <c r="AZ121" s="13" t="s">
        <v>275</v>
      </c>
      <c r="BA121" s="43" t="s">
        <v>182</v>
      </c>
      <c r="BC121" s="14">
        <f t="shared" si="91"/>
        <v>0</v>
      </c>
      <c r="BD121" s="14">
        <f t="shared" si="92"/>
        <v>0</v>
      </c>
      <c r="BE121" s="14">
        <v>0</v>
      </c>
      <c r="BF121" s="14">
        <f>121</f>
        <v>121</v>
      </c>
      <c r="BH121" s="14">
        <f t="shared" si="93"/>
        <v>0</v>
      </c>
      <c r="BI121" s="14">
        <f t="shared" si="94"/>
        <v>0</v>
      </c>
      <c r="BJ121" s="14">
        <f t="shared" si="95"/>
        <v>0</v>
      </c>
      <c r="BK121" s="14"/>
      <c r="BL121" s="14">
        <v>728</v>
      </c>
      <c r="BW121" s="14">
        <v>21</v>
      </c>
      <c r="BX121" s="4" t="s">
        <v>457</v>
      </c>
    </row>
    <row r="122" spans="1:76" ht="14.5" x14ac:dyDescent="0.35">
      <c r="A122" s="1" t="s">
        <v>458</v>
      </c>
      <c r="B122" s="2" t="s">
        <v>459</v>
      </c>
      <c r="C122" s="81" t="s">
        <v>460</v>
      </c>
      <c r="D122" s="75"/>
      <c r="E122" s="2" t="s">
        <v>300</v>
      </c>
      <c r="F122" s="14">
        <v>1</v>
      </c>
      <c r="G122" s="55">
        <v>0</v>
      </c>
      <c r="H122" s="14">
        <f t="shared" si="72"/>
        <v>0</v>
      </c>
      <c r="I122" s="14">
        <f t="shared" si="73"/>
        <v>0</v>
      </c>
      <c r="J122" s="56">
        <f t="shared" si="74"/>
        <v>0</v>
      </c>
      <c r="Z122" s="14">
        <f t="shared" si="75"/>
        <v>0</v>
      </c>
      <c r="AB122" s="14">
        <f t="shared" si="76"/>
        <v>0</v>
      </c>
      <c r="AC122" s="14">
        <f t="shared" si="77"/>
        <v>0</v>
      </c>
      <c r="AD122" s="14">
        <f t="shared" si="78"/>
        <v>0</v>
      </c>
      <c r="AE122" s="14">
        <f t="shared" si="79"/>
        <v>0</v>
      </c>
      <c r="AF122" s="14">
        <f t="shared" si="80"/>
        <v>0</v>
      </c>
      <c r="AG122" s="14">
        <f t="shared" si="81"/>
        <v>0</v>
      </c>
      <c r="AH122" s="14">
        <f t="shared" si="82"/>
        <v>0</v>
      </c>
      <c r="AI122" s="43" t="s">
        <v>19</v>
      </c>
      <c r="AJ122" s="14">
        <f t="shared" si="83"/>
        <v>0</v>
      </c>
      <c r="AK122" s="14">
        <f t="shared" si="84"/>
        <v>0</v>
      </c>
      <c r="AL122" s="14">
        <f t="shared" si="85"/>
        <v>0</v>
      </c>
      <c r="AN122" s="14">
        <v>21</v>
      </c>
      <c r="AO122" s="14">
        <f t="shared" si="86"/>
        <v>0</v>
      </c>
      <c r="AP122" s="14">
        <f t="shared" si="87"/>
        <v>0</v>
      </c>
      <c r="AQ122" s="13" t="s">
        <v>205</v>
      </c>
      <c r="AV122" s="14">
        <f t="shared" si="88"/>
        <v>0</v>
      </c>
      <c r="AW122" s="14">
        <f t="shared" si="89"/>
        <v>0</v>
      </c>
      <c r="AX122" s="14">
        <f t="shared" si="90"/>
        <v>0</v>
      </c>
      <c r="AY122" s="13" t="s">
        <v>423</v>
      </c>
      <c r="AZ122" s="13" t="s">
        <v>275</v>
      </c>
      <c r="BA122" s="43" t="s">
        <v>182</v>
      </c>
      <c r="BC122" s="14">
        <f t="shared" si="91"/>
        <v>0</v>
      </c>
      <c r="BD122" s="14">
        <f t="shared" si="92"/>
        <v>0</v>
      </c>
      <c r="BE122" s="14">
        <v>0</v>
      </c>
      <c r="BF122" s="14">
        <f>122</f>
        <v>122</v>
      </c>
      <c r="BH122" s="14">
        <f t="shared" si="93"/>
        <v>0</v>
      </c>
      <c r="BI122" s="14">
        <f t="shared" si="94"/>
        <v>0</v>
      </c>
      <c r="BJ122" s="14">
        <f t="shared" si="95"/>
        <v>0</v>
      </c>
      <c r="BK122" s="14"/>
      <c r="BL122" s="14">
        <v>728</v>
      </c>
      <c r="BW122" s="14">
        <v>21</v>
      </c>
      <c r="BX122" s="4" t="s">
        <v>460</v>
      </c>
    </row>
    <row r="123" spans="1:76" ht="14.5" x14ac:dyDescent="0.35">
      <c r="A123" s="60" t="s">
        <v>19</v>
      </c>
      <c r="B123" s="61" t="s">
        <v>45</v>
      </c>
      <c r="C123" s="165" t="s">
        <v>46</v>
      </c>
      <c r="D123" s="166"/>
      <c r="E123" s="62" t="s">
        <v>3</v>
      </c>
      <c r="F123" s="62" t="s">
        <v>3</v>
      </c>
      <c r="G123" s="69" t="s">
        <v>3</v>
      </c>
      <c r="H123" s="38">
        <f>SUM(H124:H124)</f>
        <v>0</v>
      </c>
      <c r="I123" s="38">
        <f>SUM(I124:I124)</f>
        <v>0</v>
      </c>
      <c r="J123" s="64">
        <f>SUM(J124:J124)</f>
        <v>0</v>
      </c>
      <c r="AI123" s="43" t="s">
        <v>19</v>
      </c>
      <c r="AS123" s="38">
        <f>SUM(AJ124:AJ124)</f>
        <v>0</v>
      </c>
      <c r="AT123" s="38">
        <f>SUM(AK124:AK124)</f>
        <v>0</v>
      </c>
      <c r="AU123" s="38">
        <f>SUM(AL124:AL124)</f>
        <v>0</v>
      </c>
    </row>
    <row r="124" spans="1:76" ht="27" customHeight="1" x14ac:dyDescent="0.35">
      <c r="A124" s="1" t="s">
        <v>461</v>
      </c>
      <c r="B124" s="2" t="s">
        <v>462</v>
      </c>
      <c r="C124" s="81" t="s">
        <v>463</v>
      </c>
      <c r="D124" s="75"/>
      <c r="E124" s="2" t="s">
        <v>232</v>
      </c>
      <c r="F124" s="14">
        <v>22</v>
      </c>
      <c r="G124" s="55">
        <v>0</v>
      </c>
      <c r="H124" s="14">
        <f>F124*AO124</f>
        <v>0</v>
      </c>
      <c r="I124" s="14">
        <f>F124*AP124</f>
        <v>0</v>
      </c>
      <c r="J124" s="56">
        <f>F124*G124</f>
        <v>0</v>
      </c>
      <c r="Z124" s="14">
        <f>IF(AQ124="5",BJ124,0)</f>
        <v>0</v>
      </c>
      <c r="AB124" s="14">
        <f>IF(AQ124="1",BH124,0)</f>
        <v>0</v>
      </c>
      <c r="AC124" s="14">
        <f>IF(AQ124="1",BI124,0)</f>
        <v>0</v>
      </c>
      <c r="AD124" s="14">
        <f>IF(AQ124="7",BH124,0)</f>
        <v>0</v>
      </c>
      <c r="AE124" s="14">
        <f>IF(AQ124="7",BI124,0)</f>
        <v>0</v>
      </c>
      <c r="AF124" s="14">
        <f>IF(AQ124="2",BH124,0)</f>
        <v>0</v>
      </c>
      <c r="AG124" s="14">
        <f>IF(AQ124="2",BI124,0)</f>
        <v>0</v>
      </c>
      <c r="AH124" s="14">
        <f>IF(AQ124="0",BJ124,0)</f>
        <v>0</v>
      </c>
      <c r="AI124" s="43" t="s">
        <v>19</v>
      </c>
      <c r="AJ124" s="14">
        <f>IF(AN124=0,J124,0)</f>
        <v>0</v>
      </c>
      <c r="AK124" s="14">
        <f>IF(AN124=12,J124,0)</f>
        <v>0</v>
      </c>
      <c r="AL124" s="14">
        <f>IF(AN124=21,J124,0)</f>
        <v>0</v>
      </c>
      <c r="AN124" s="14">
        <v>21</v>
      </c>
      <c r="AO124" s="14">
        <f>G124*0.324637681</f>
        <v>0</v>
      </c>
      <c r="AP124" s="14">
        <f>G124*(1-0.324637681)</f>
        <v>0</v>
      </c>
      <c r="AQ124" s="13" t="s">
        <v>205</v>
      </c>
      <c r="AV124" s="14">
        <f>AW124+AX124</f>
        <v>0</v>
      </c>
      <c r="AW124" s="14">
        <f>F124*AO124</f>
        <v>0</v>
      </c>
      <c r="AX124" s="14">
        <f>F124*AP124</f>
        <v>0</v>
      </c>
      <c r="AY124" s="13" t="s">
        <v>464</v>
      </c>
      <c r="AZ124" s="13" t="s">
        <v>465</v>
      </c>
      <c r="BA124" s="43" t="s">
        <v>182</v>
      </c>
      <c r="BC124" s="14">
        <f>AW124+AX124</f>
        <v>0</v>
      </c>
      <c r="BD124" s="14">
        <f>G124/(100-BE124)*100</f>
        <v>0</v>
      </c>
      <c r="BE124" s="14">
        <v>0</v>
      </c>
      <c r="BF124" s="14">
        <f>124</f>
        <v>124</v>
      </c>
      <c r="BH124" s="14">
        <f>F124*AO124</f>
        <v>0</v>
      </c>
      <c r="BI124" s="14">
        <f>F124*AP124</f>
        <v>0</v>
      </c>
      <c r="BJ124" s="14">
        <f>F124*G124</f>
        <v>0</v>
      </c>
      <c r="BK124" s="14"/>
      <c r="BL124" s="14">
        <v>762</v>
      </c>
      <c r="BW124" s="14">
        <v>21</v>
      </c>
      <c r="BX124" s="4" t="s">
        <v>463</v>
      </c>
    </row>
    <row r="125" spans="1:76" ht="14.5" customHeight="1" x14ac:dyDescent="0.35">
      <c r="A125" s="57"/>
      <c r="B125" s="58" t="s">
        <v>190</v>
      </c>
      <c r="C125" s="154" t="s">
        <v>795</v>
      </c>
      <c r="D125" s="155"/>
      <c r="E125" s="155"/>
      <c r="F125" s="155"/>
      <c r="G125" s="156"/>
      <c r="H125" s="155"/>
      <c r="I125" s="155"/>
      <c r="J125" s="157"/>
      <c r="BX125" s="59" t="s">
        <v>466</v>
      </c>
    </row>
    <row r="126" spans="1:76" ht="14.5" x14ac:dyDescent="0.35">
      <c r="A126" s="60" t="s">
        <v>19</v>
      </c>
      <c r="B126" s="61" t="s">
        <v>47</v>
      </c>
      <c r="C126" s="165" t="s">
        <v>48</v>
      </c>
      <c r="D126" s="166"/>
      <c r="E126" s="62" t="s">
        <v>3</v>
      </c>
      <c r="F126" s="62" t="s">
        <v>3</v>
      </c>
      <c r="G126" s="69" t="s">
        <v>3</v>
      </c>
      <c r="H126" s="38">
        <f>SUM(H127:H131)</f>
        <v>0</v>
      </c>
      <c r="I126" s="38">
        <f>SUM(I127:I131)</f>
        <v>0</v>
      </c>
      <c r="J126" s="64">
        <f>SUM(J127:J131)</f>
        <v>0</v>
      </c>
      <c r="AI126" s="43" t="s">
        <v>19</v>
      </c>
      <c r="AS126" s="38">
        <f>SUM(AJ127:AJ131)</f>
        <v>0</v>
      </c>
      <c r="AT126" s="38">
        <f>SUM(AK127:AK131)</f>
        <v>0</v>
      </c>
      <c r="AU126" s="38">
        <f>SUM(AL127:AL131)</f>
        <v>0</v>
      </c>
    </row>
    <row r="127" spans="1:76" ht="14.5" x14ac:dyDescent="0.35">
      <c r="A127" s="1" t="s">
        <v>467</v>
      </c>
      <c r="B127" s="2" t="s">
        <v>468</v>
      </c>
      <c r="C127" s="81" t="s">
        <v>789</v>
      </c>
      <c r="D127" s="75"/>
      <c r="E127" s="2" t="s">
        <v>215</v>
      </c>
      <c r="F127" s="14">
        <v>1</v>
      </c>
      <c r="G127" s="55">
        <v>0</v>
      </c>
      <c r="H127" s="14">
        <f>F127*AO127</f>
        <v>0</v>
      </c>
      <c r="I127" s="14">
        <f>F127*AP127</f>
        <v>0</v>
      </c>
      <c r="J127" s="56">
        <f>F127*G127</f>
        <v>0</v>
      </c>
      <c r="Z127" s="14">
        <f>IF(AQ127="5",BJ127,0)</f>
        <v>0</v>
      </c>
      <c r="AB127" s="14">
        <f>IF(AQ127="1",BH127,0)</f>
        <v>0</v>
      </c>
      <c r="AC127" s="14">
        <f>IF(AQ127="1",BI127,0)</f>
        <v>0</v>
      </c>
      <c r="AD127" s="14">
        <f>IF(AQ127="7",BH127,0)</f>
        <v>0</v>
      </c>
      <c r="AE127" s="14">
        <f>IF(AQ127="7",BI127,0)</f>
        <v>0</v>
      </c>
      <c r="AF127" s="14">
        <f>IF(AQ127="2",BH127,0)</f>
        <v>0</v>
      </c>
      <c r="AG127" s="14">
        <f>IF(AQ127="2",BI127,0)</f>
        <v>0</v>
      </c>
      <c r="AH127" s="14">
        <f>IF(AQ127="0",BJ127,0)</f>
        <v>0</v>
      </c>
      <c r="AI127" s="43" t="s">
        <v>19</v>
      </c>
      <c r="AJ127" s="14">
        <f>IF(AN127=0,J127,0)</f>
        <v>0</v>
      </c>
      <c r="AK127" s="14">
        <f>IF(AN127=12,J127,0)</f>
        <v>0</v>
      </c>
      <c r="AL127" s="14">
        <f>IF(AN127=21,J127,0)</f>
        <v>0</v>
      </c>
      <c r="AN127" s="14">
        <v>21</v>
      </c>
      <c r="AO127" s="14">
        <f>G127*0.814519342</f>
        <v>0</v>
      </c>
      <c r="AP127" s="14">
        <f>G127*(1-0.814519342)</f>
        <v>0</v>
      </c>
      <c r="AQ127" s="13" t="s">
        <v>205</v>
      </c>
      <c r="AV127" s="14">
        <f>AW127+AX127</f>
        <v>0</v>
      </c>
      <c r="AW127" s="14">
        <f>F127*AO127</f>
        <v>0</v>
      </c>
      <c r="AX127" s="14">
        <f>F127*AP127</f>
        <v>0</v>
      </c>
      <c r="AY127" s="13" t="s">
        <v>470</v>
      </c>
      <c r="AZ127" s="13" t="s">
        <v>465</v>
      </c>
      <c r="BA127" s="43" t="s">
        <v>182</v>
      </c>
      <c r="BC127" s="14">
        <f>AW127+AX127</f>
        <v>0</v>
      </c>
      <c r="BD127" s="14">
        <f>G127/(100-BE127)*100</f>
        <v>0</v>
      </c>
      <c r="BE127" s="14">
        <v>0</v>
      </c>
      <c r="BF127" s="14">
        <f>127</f>
        <v>127</v>
      </c>
      <c r="BH127" s="14">
        <f>F127*AO127</f>
        <v>0</v>
      </c>
      <c r="BI127" s="14">
        <f>F127*AP127</f>
        <v>0</v>
      </c>
      <c r="BJ127" s="14">
        <f>F127*G127</f>
        <v>0</v>
      </c>
      <c r="BK127" s="14"/>
      <c r="BL127" s="14">
        <v>766</v>
      </c>
      <c r="BW127" s="14">
        <v>21</v>
      </c>
      <c r="BX127" s="4" t="s">
        <v>469</v>
      </c>
    </row>
    <row r="128" spans="1:76" ht="14.5" x14ac:dyDescent="0.35">
      <c r="A128" s="1" t="s">
        <v>471</v>
      </c>
      <c r="B128" s="2" t="s">
        <v>472</v>
      </c>
      <c r="C128" s="81" t="s">
        <v>473</v>
      </c>
      <c r="D128" s="75"/>
      <c r="E128" s="2" t="s">
        <v>203</v>
      </c>
      <c r="F128" s="14">
        <v>25.376999999999999</v>
      </c>
      <c r="G128" s="55">
        <v>0</v>
      </c>
      <c r="H128" s="14">
        <f>F128*AO128</f>
        <v>0</v>
      </c>
      <c r="I128" s="14">
        <f>F128*AP128</f>
        <v>0</v>
      </c>
      <c r="J128" s="56">
        <f>F128*G128</f>
        <v>0</v>
      </c>
      <c r="Z128" s="14">
        <f>IF(AQ128="5",BJ128,0)</f>
        <v>0</v>
      </c>
      <c r="AB128" s="14">
        <f>IF(AQ128="1",BH128,0)</f>
        <v>0</v>
      </c>
      <c r="AC128" s="14">
        <f>IF(AQ128="1",BI128,0)</f>
        <v>0</v>
      </c>
      <c r="AD128" s="14">
        <f>IF(AQ128="7",BH128,0)</f>
        <v>0</v>
      </c>
      <c r="AE128" s="14">
        <f>IF(AQ128="7",BI128,0)</f>
        <v>0</v>
      </c>
      <c r="AF128" s="14">
        <f>IF(AQ128="2",BH128,0)</f>
        <v>0</v>
      </c>
      <c r="AG128" s="14">
        <f>IF(AQ128="2",BI128,0)</f>
        <v>0</v>
      </c>
      <c r="AH128" s="14">
        <f>IF(AQ128="0",BJ128,0)</f>
        <v>0</v>
      </c>
      <c r="AI128" s="43" t="s">
        <v>19</v>
      </c>
      <c r="AJ128" s="14">
        <f>IF(AN128=0,J128,0)</f>
        <v>0</v>
      </c>
      <c r="AK128" s="14">
        <f>IF(AN128=12,J128,0)</f>
        <v>0</v>
      </c>
      <c r="AL128" s="14">
        <f>IF(AN128=21,J128,0)</f>
        <v>0</v>
      </c>
      <c r="AN128" s="14">
        <v>21</v>
      </c>
      <c r="AO128" s="14">
        <f>G128*0.055360628</f>
        <v>0</v>
      </c>
      <c r="AP128" s="14">
        <f>G128*(1-0.055360628)</f>
        <v>0</v>
      </c>
      <c r="AQ128" s="13" t="s">
        <v>205</v>
      </c>
      <c r="AV128" s="14">
        <f>AW128+AX128</f>
        <v>0</v>
      </c>
      <c r="AW128" s="14">
        <f>F128*AO128</f>
        <v>0</v>
      </c>
      <c r="AX128" s="14">
        <f>F128*AP128</f>
        <v>0</v>
      </c>
      <c r="AY128" s="13" t="s">
        <v>470</v>
      </c>
      <c r="AZ128" s="13" t="s">
        <v>465</v>
      </c>
      <c r="BA128" s="43" t="s">
        <v>182</v>
      </c>
      <c r="BC128" s="14">
        <f>AW128+AX128</f>
        <v>0</v>
      </c>
      <c r="BD128" s="14">
        <f>G128/(100-BE128)*100</f>
        <v>0</v>
      </c>
      <c r="BE128" s="14">
        <v>0</v>
      </c>
      <c r="BF128" s="14">
        <f>128</f>
        <v>128</v>
      </c>
      <c r="BH128" s="14">
        <f>F128*AO128</f>
        <v>0</v>
      </c>
      <c r="BI128" s="14">
        <f>F128*AP128</f>
        <v>0</v>
      </c>
      <c r="BJ128" s="14">
        <f>F128*G128</f>
        <v>0</v>
      </c>
      <c r="BK128" s="14"/>
      <c r="BL128" s="14">
        <v>766</v>
      </c>
      <c r="BW128" s="14">
        <v>21</v>
      </c>
      <c r="BX128" s="4" t="s">
        <v>473</v>
      </c>
    </row>
    <row r="129" spans="1:76" ht="14.5" x14ac:dyDescent="0.35">
      <c r="A129" s="57"/>
      <c r="B129" s="58" t="s">
        <v>190</v>
      </c>
      <c r="C129" s="154" t="s">
        <v>474</v>
      </c>
      <c r="D129" s="155"/>
      <c r="E129" s="155"/>
      <c r="F129" s="155"/>
      <c r="G129" s="156"/>
      <c r="H129" s="155"/>
      <c r="I129" s="155"/>
      <c r="J129" s="157"/>
      <c r="BX129" s="59" t="s">
        <v>474</v>
      </c>
    </row>
    <row r="130" spans="1:76" ht="14.5" x14ac:dyDescent="0.35">
      <c r="A130" s="1" t="s">
        <v>475</v>
      </c>
      <c r="B130" s="2" t="s">
        <v>476</v>
      </c>
      <c r="C130" s="81" t="s">
        <v>477</v>
      </c>
      <c r="D130" s="75"/>
      <c r="E130" s="2" t="s">
        <v>215</v>
      </c>
      <c r="F130" s="14">
        <v>2</v>
      </c>
      <c r="G130" s="55">
        <v>0</v>
      </c>
      <c r="H130" s="14">
        <f>F130*AO130</f>
        <v>0</v>
      </c>
      <c r="I130" s="14">
        <f>F130*AP130</f>
        <v>0</v>
      </c>
      <c r="J130" s="56">
        <f>F130*G130</f>
        <v>0</v>
      </c>
      <c r="Z130" s="14">
        <f>IF(AQ130="5",BJ130,0)</f>
        <v>0</v>
      </c>
      <c r="AB130" s="14">
        <f>IF(AQ130="1",BH130,0)</f>
        <v>0</v>
      </c>
      <c r="AC130" s="14">
        <f>IF(AQ130="1",BI130,0)</f>
        <v>0</v>
      </c>
      <c r="AD130" s="14">
        <f>IF(AQ130="7",BH130,0)</f>
        <v>0</v>
      </c>
      <c r="AE130" s="14">
        <f>IF(AQ130="7",BI130,0)</f>
        <v>0</v>
      </c>
      <c r="AF130" s="14">
        <f>IF(AQ130="2",BH130,0)</f>
        <v>0</v>
      </c>
      <c r="AG130" s="14">
        <f>IF(AQ130="2",BI130,0)</f>
        <v>0</v>
      </c>
      <c r="AH130" s="14">
        <f>IF(AQ130="0",BJ130,0)</f>
        <v>0</v>
      </c>
      <c r="AI130" s="43" t="s">
        <v>19</v>
      </c>
      <c r="AJ130" s="14">
        <f>IF(AN130=0,J130,0)</f>
        <v>0</v>
      </c>
      <c r="AK130" s="14">
        <f>IF(AN130=12,J130,0)</f>
        <v>0</v>
      </c>
      <c r="AL130" s="14">
        <f>IF(AN130=21,J130,0)</f>
        <v>0</v>
      </c>
      <c r="AN130" s="14">
        <v>21</v>
      </c>
      <c r="AO130" s="14">
        <f>G130*0</f>
        <v>0</v>
      </c>
      <c r="AP130" s="14">
        <f>G130*(1-0)</f>
        <v>0</v>
      </c>
      <c r="AQ130" s="13" t="s">
        <v>205</v>
      </c>
      <c r="AV130" s="14">
        <f>AW130+AX130</f>
        <v>0</v>
      </c>
      <c r="AW130" s="14">
        <f>F130*AO130</f>
        <v>0</v>
      </c>
      <c r="AX130" s="14">
        <f>F130*AP130</f>
        <v>0</v>
      </c>
      <c r="AY130" s="13" t="s">
        <v>470</v>
      </c>
      <c r="AZ130" s="13" t="s">
        <v>465</v>
      </c>
      <c r="BA130" s="43" t="s">
        <v>182</v>
      </c>
      <c r="BC130" s="14">
        <f>AW130+AX130</f>
        <v>0</v>
      </c>
      <c r="BD130" s="14">
        <f>G130/(100-BE130)*100</f>
        <v>0</v>
      </c>
      <c r="BE130" s="14">
        <v>0</v>
      </c>
      <c r="BF130" s="14">
        <f>130</f>
        <v>130</v>
      </c>
      <c r="BH130" s="14">
        <f>F130*AO130</f>
        <v>0</v>
      </c>
      <c r="BI130" s="14">
        <f>F130*AP130</f>
        <v>0</v>
      </c>
      <c r="BJ130" s="14">
        <f>F130*G130</f>
        <v>0</v>
      </c>
      <c r="BK130" s="14"/>
      <c r="BL130" s="14">
        <v>766</v>
      </c>
      <c r="BW130" s="14">
        <v>21</v>
      </c>
      <c r="BX130" s="4" t="s">
        <v>477</v>
      </c>
    </row>
    <row r="131" spans="1:76" ht="14.5" x14ac:dyDescent="0.35">
      <c r="A131" s="1" t="s">
        <v>478</v>
      </c>
      <c r="B131" s="2" t="s">
        <v>479</v>
      </c>
      <c r="C131" s="81" t="s">
        <v>480</v>
      </c>
      <c r="D131" s="75"/>
      <c r="E131" s="2" t="s">
        <v>215</v>
      </c>
      <c r="F131" s="14">
        <v>2</v>
      </c>
      <c r="G131" s="55">
        <v>0</v>
      </c>
      <c r="H131" s="14">
        <f>F131*AO131</f>
        <v>0</v>
      </c>
      <c r="I131" s="14">
        <f>F131*AP131</f>
        <v>0</v>
      </c>
      <c r="J131" s="56">
        <f>F131*G131</f>
        <v>0</v>
      </c>
      <c r="Z131" s="14">
        <f>IF(AQ131="5",BJ131,0)</f>
        <v>0</v>
      </c>
      <c r="AB131" s="14">
        <f>IF(AQ131="1",BH131,0)</f>
        <v>0</v>
      </c>
      <c r="AC131" s="14">
        <f>IF(AQ131="1",BI131,0)</f>
        <v>0</v>
      </c>
      <c r="AD131" s="14">
        <f>IF(AQ131="7",BH131,0)</f>
        <v>0</v>
      </c>
      <c r="AE131" s="14">
        <f>IF(AQ131="7",BI131,0)</f>
        <v>0</v>
      </c>
      <c r="AF131" s="14">
        <f>IF(AQ131="2",BH131,0)</f>
        <v>0</v>
      </c>
      <c r="AG131" s="14">
        <f>IF(AQ131="2",BI131,0)</f>
        <v>0</v>
      </c>
      <c r="AH131" s="14">
        <f>IF(AQ131="0",BJ131,0)</f>
        <v>0</v>
      </c>
      <c r="AI131" s="43" t="s">
        <v>19</v>
      </c>
      <c r="AJ131" s="14">
        <f>IF(AN131=0,J131,0)</f>
        <v>0</v>
      </c>
      <c r="AK131" s="14">
        <f>IF(AN131=12,J131,0)</f>
        <v>0</v>
      </c>
      <c r="AL131" s="14">
        <f>IF(AN131=21,J131,0)</f>
        <v>0</v>
      </c>
      <c r="AN131" s="14">
        <v>21</v>
      </c>
      <c r="AO131" s="14">
        <f>G131*1</f>
        <v>0</v>
      </c>
      <c r="AP131" s="14">
        <f>G131*(1-1)</f>
        <v>0</v>
      </c>
      <c r="AQ131" s="13" t="s">
        <v>205</v>
      </c>
      <c r="AV131" s="14">
        <f>AW131+AX131</f>
        <v>0</v>
      </c>
      <c r="AW131" s="14">
        <f>F131*AO131</f>
        <v>0</v>
      </c>
      <c r="AX131" s="14">
        <f>F131*AP131</f>
        <v>0</v>
      </c>
      <c r="AY131" s="13" t="s">
        <v>470</v>
      </c>
      <c r="AZ131" s="13" t="s">
        <v>465</v>
      </c>
      <c r="BA131" s="43" t="s">
        <v>182</v>
      </c>
      <c r="BC131" s="14">
        <f>AW131+AX131</f>
        <v>0</v>
      </c>
      <c r="BD131" s="14">
        <f>G131/(100-BE131)*100</f>
        <v>0</v>
      </c>
      <c r="BE131" s="14">
        <v>0</v>
      </c>
      <c r="BF131" s="14">
        <f>131</f>
        <v>131</v>
      </c>
      <c r="BH131" s="14">
        <f>F131*AO131</f>
        <v>0</v>
      </c>
      <c r="BI131" s="14">
        <f>F131*AP131</f>
        <v>0</v>
      </c>
      <c r="BJ131" s="14">
        <f>F131*G131</f>
        <v>0</v>
      </c>
      <c r="BK131" s="14"/>
      <c r="BL131" s="14">
        <v>766</v>
      </c>
      <c r="BW131" s="14">
        <v>21</v>
      </c>
      <c r="BX131" s="4" t="s">
        <v>480</v>
      </c>
    </row>
    <row r="132" spans="1:76" ht="14.5" x14ac:dyDescent="0.35">
      <c r="A132" s="57"/>
      <c r="B132" s="58" t="s">
        <v>190</v>
      </c>
      <c r="C132" s="154" t="s">
        <v>259</v>
      </c>
      <c r="D132" s="155"/>
      <c r="E132" s="155"/>
      <c r="F132" s="155"/>
      <c r="G132" s="156"/>
      <c r="H132" s="155"/>
      <c r="I132" s="155"/>
      <c r="J132" s="157"/>
      <c r="BX132" s="59" t="s">
        <v>259</v>
      </c>
    </row>
    <row r="133" spans="1:76" ht="14.5" x14ac:dyDescent="0.35">
      <c r="A133" s="60" t="s">
        <v>19</v>
      </c>
      <c r="B133" s="61" t="s">
        <v>49</v>
      </c>
      <c r="C133" s="165" t="s">
        <v>50</v>
      </c>
      <c r="D133" s="166"/>
      <c r="E133" s="62" t="s">
        <v>3</v>
      </c>
      <c r="F133" s="62" t="s">
        <v>3</v>
      </c>
      <c r="G133" s="69" t="s">
        <v>3</v>
      </c>
      <c r="H133" s="38">
        <f>SUM(H134:H140)</f>
        <v>0</v>
      </c>
      <c r="I133" s="38">
        <f>SUM(I134:I140)</f>
        <v>0</v>
      </c>
      <c r="J133" s="64">
        <f>SUM(J134:J140)</f>
        <v>0</v>
      </c>
      <c r="AI133" s="43" t="s">
        <v>19</v>
      </c>
      <c r="AS133" s="38">
        <f>SUM(AJ134:AJ140)</f>
        <v>0</v>
      </c>
      <c r="AT133" s="38">
        <f>SUM(AK134:AK140)</f>
        <v>0</v>
      </c>
      <c r="AU133" s="38">
        <f>SUM(AL134:AL140)</f>
        <v>0</v>
      </c>
    </row>
    <row r="134" spans="1:76" ht="14.5" x14ac:dyDescent="0.35">
      <c r="A134" s="1" t="s">
        <v>481</v>
      </c>
      <c r="B134" s="2" t="s">
        <v>482</v>
      </c>
      <c r="C134" s="81" t="s">
        <v>483</v>
      </c>
      <c r="D134" s="75"/>
      <c r="E134" s="2" t="s">
        <v>203</v>
      </c>
      <c r="F134" s="14">
        <v>47.8</v>
      </c>
      <c r="G134" s="55">
        <v>0</v>
      </c>
      <c r="H134" s="14">
        <f>F134*AO134</f>
        <v>0</v>
      </c>
      <c r="I134" s="14">
        <f>F134*AP134</f>
        <v>0</v>
      </c>
      <c r="J134" s="56">
        <f>F134*G134</f>
        <v>0</v>
      </c>
      <c r="Z134" s="14">
        <f>IF(AQ134="5",BJ134,0)</f>
        <v>0</v>
      </c>
      <c r="AB134" s="14">
        <f>IF(AQ134="1",BH134,0)</f>
        <v>0</v>
      </c>
      <c r="AC134" s="14">
        <f>IF(AQ134="1",BI134,0)</f>
        <v>0</v>
      </c>
      <c r="AD134" s="14">
        <f>IF(AQ134="7",BH134,0)</f>
        <v>0</v>
      </c>
      <c r="AE134" s="14">
        <f>IF(AQ134="7",BI134,0)</f>
        <v>0</v>
      </c>
      <c r="AF134" s="14">
        <f>IF(AQ134="2",BH134,0)</f>
        <v>0</v>
      </c>
      <c r="AG134" s="14">
        <f>IF(AQ134="2",BI134,0)</f>
        <v>0</v>
      </c>
      <c r="AH134" s="14">
        <f>IF(AQ134="0",BJ134,0)</f>
        <v>0</v>
      </c>
      <c r="AI134" s="43" t="s">
        <v>19</v>
      </c>
      <c r="AJ134" s="14">
        <f>IF(AN134=0,J134,0)</f>
        <v>0</v>
      </c>
      <c r="AK134" s="14">
        <f>IF(AN134=12,J134,0)</f>
        <v>0</v>
      </c>
      <c r="AL134" s="14">
        <f>IF(AN134=21,J134,0)</f>
        <v>0</v>
      </c>
      <c r="AN134" s="14">
        <v>21</v>
      </c>
      <c r="AO134" s="14">
        <f>G134*0</f>
        <v>0</v>
      </c>
      <c r="AP134" s="14">
        <f>G134*(1-0)</f>
        <v>0</v>
      </c>
      <c r="AQ134" s="13" t="s">
        <v>205</v>
      </c>
      <c r="AV134" s="14">
        <f>AW134+AX134</f>
        <v>0</v>
      </c>
      <c r="AW134" s="14">
        <f>F134*AO134</f>
        <v>0</v>
      </c>
      <c r="AX134" s="14">
        <f>F134*AP134</f>
        <v>0</v>
      </c>
      <c r="AY134" s="13" t="s">
        <v>484</v>
      </c>
      <c r="AZ134" s="13" t="s">
        <v>465</v>
      </c>
      <c r="BA134" s="43" t="s">
        <v>182</v>
      </c>
      <c r="BC134" s="14">
        <f>AW134+AX134</f>
        <v>0</v>
      </c>
      <c r="BD134" s="14">
        <f>G134/(100-BE134)*100</f>
        <v>0</v>
      </c>
      <c r="BE134" s="14">
        <v>0</v>
      </c>
      <c r="BF134" s="14">
        <f>134</f>
        <v>134</v>
      </c>
      <c r="BH134" s="14">
        <f>F134*AO134</f>
        <v>0</v>
      </c>
      <c r="BI134" s="14">
        <f>F134*AP134</f>
        <v>0</v>
      </c>
      <c r="BJ134" s="14">
        <f>F134*G134</f>
        <v>0</v>
      </c>
      <c r="BK134" s="14"/>
      <c r="BL134" s="14">
        <v>767</v>
      </c>
      <c r="BW134" s="14">
        <v>21</v>
      </c>
      <c r="BX134" s="4" t="s">
        <v>483</v>
      </c>
    </row>
    <row r="135" spans="1:76" ht="14.5" x14ac:dyDescent="0.35">
      <c r="A135" s="1" t="s">
        <v>485</v>
      </c>
      <c r="B135" s="2" t="s">
        <v>486</v>
      </c>
      <c r="C135" s="81" t="s">
        <v>487</v>
      </c>
      <c r="D135" s="75"/>
      <c r="E135" s="2" t="s">
        <v>203</v>
      </c>
      <c r="F135" s="14">
        <v>6</v>
      </c>
      <c r="G135" s="55">
        <v>0</v>
      </c>
      <c r="H135" s="14">
        <f>F135*AO135</f>
        <v>0</v>
      </c>
      <c r="I135" s="14">
        <f>F135*AP135</f>
        <v>0</v>
      </c>
      <c r="J135" s="56">
        <f>F135*G135</f>
        <v>0</v>
      </c>
      <c r="Z135" s="14">
        <f>IF(AQ135="5",BJ135,0)</f>
        <v>0</v>
      </c>
      <c r="AB135" s="14">
        <f>IF(AQ135="1",BH135,0)</f>
        <v>0</v>
      </c>
      <c r="AC135" s="14">
        <f>IF(AQ135="1",BI135,0)</f>
        <v>0</v>
      </c>
      <c r="AD135" s="14">
        <f>IF(AQ135="7",BH135,0)</f>
        <v>0</v>
      </c>
      <c r="AE135" s="14">
        <f>IF(AQ135="7",BI135,0)</f>
        <v>0</v>
      </c>
      <c r="AF135" s="14">
        <f>IF(AQ135="2",BH135,0)</f>
        <v>0</v>
      </c>
      <c r="AG135" s="14">
        <f>IF(AQ135="2",BI135,0)</f>
        <v>0</v>
      </c>
      <c r="AH135" s="14">
        <f>IF(AQ135="0",BJ135,0)</f>
        <v>0</v>
      </c>
      <c r="AI135" s="43" t="s">
        <v>19</v>
      </c>
      <c r="AJ135" s="14">
        <f>IF(AN135=0,J135,0)</f>
        <v>0</v>
      </c>
      <c r="AK135" s="14">
        <f>IF(AN135=12,J135,0)</f>
        <v>0</v>
      </c>
      <c r="AL135" s="14">
        <f>IF(AN135=21,J135,0)</f>
        <v>0</v>
      </c>
      <c r="AN135" s="14">
        <v>21</v>
      </c>
      <c r="AO135" s="14">
        <f>G135*0</f>
        <v>0</v>
      </c>
      <c r="AP135" s="14">
        <f>G135*(1-0)</f>
        <v>0</v>
      </c>
      <c r="AQ135" s="13" t="s">
        <v>205</v>
      </c>
      <c r="AV135" s="14">
        <f>AW135+AX135</f>
        <v>0</v>
      </c>
      <c r="AW135" s="14">
        <f>F135*AO135</f>
        <v>0</v>
      </c>
      <c r="AX135" s="14">
        <f>F135*AP135</f>
        <v>0</v>
      </c>
      <c r="AY135" s="13" t="s">
        <v>484</v>
      </c>
      <c r="AZ135" s="13" t="s">
        <v>465</v>
      </c>
      <c r="BA135" s="43" t="s">
        <v>182</v>
      </c>
      <c r="BC135" s="14">
        <f>AW135+AX135</f>
        <v>0</v>
      </c>
      <c r="BD135" s="14">
        <f>G135/(100-BE135)*100</f>
        <v>0</v>
      </c>
      <c r="BE135" s="14">
        <v>0</v>
      </c>
      <c r="BF135" s="14">
        <f>135</f>
        <v>135</v>
      </c>
      <c r="BH135" s="14">
        <f>F135*AO135</f>
        <v>0</v>
      </c>
      <c r="BI135" s="14">
        <f>F135*AP135</f>
        <v>0</v>
      </c>
      <c r="BJ135" s="14">
        <f>F135*G135</f>
        <v>0</v>
      </c>
      <c r="BK135" s="14"/>
      <c r="BL135" s="14">
        <v>767</v>
      </c>
      <c r="BW135" s="14">
        <v>21</v>
      </c>
      <c r="BX135" s="4" t="s">
        <v>487</v>
      </c>
    </row>
    <row r="136" spans="1:76" ht="14.5" x14ac:dyDescent="0.35">
      <c r="A136" s="57"/>
      <c r="B136" s="58" t="s">
        <v>190</v>
      </c>
      <c r="C136" s="154" t="s">
        <v>259</v>
      </c>
      <c r="D136" s="155"/>
      <c r="E136" s="155"/>
      <c r="F136" s="155"/>
      <c r="G136" s="156"/>
      <c r="H136" s="155"/>
      <c r="I136" s="155"/>
      <c r="J136" s="157"/>
      <c r="BX136" s="59" t="s">
        <v>259</v>
      </c>
    </row>
    <row r="137" spans="1:76" ht="14.5" x14ac:dyDescent="0.35">
      <c r="A137" s="1" t="s">
        <v>488</v>
      </c>
      <c r="B137" s="2" t="s">
        <v>489</v>
      </c>
      <c r="C137" s="81" t="s">
        <v>490</v>
      </c>
      <c r="D137" s="75"/>
      <c r="E137" s="2" t="s">
        <v>203</v>
      </c>
      <c r="F137" s="14">
        <v>46.3</v>
      </c>
      <c r="G137" s="55">
        <v>0</v>
      </c>
      <c r="H137" s="14">
        <f>F137*AO137</f>
        <v>0</v>
      </c>
      <c r="I137" s="14">
        <f>F137*AP137</f>
        <v>0</v>
      </c>
      <c r="J137" s="56">
        <f>F137*G137</f>
        <v>0</v>
      </c>
      <c r="Z137" s="14">
        <f>IF(AQ137="5",BJ137,0)</f>
        <v>0</v>
      </c>
      <c r="AB137" s="14">
        <f>IF(AQ137="1",BH137,0)</f>
        <v>0</v>
      </c>
      <c r="AC137" s="14">
        <f>IF(AQ137="1",BI137,0)</f>
        <v>0</v>
      </c>
      <c r="AD137" s="14">
        <f>IF(AQ137="7",BH137,0)</f>
        <v>0</v>
      </c>
      <c r="AE137" s="14">
        <f>IF(AQ137="7",BI137,0)</f>
        <v>0</v>
      </c>
      <c r="AF137" s="14">
        <f>IF(AQ137="2",BH137,0)</f>
        <v>0</v>
      </c>
      <c r="AG137" s="14">
        <f>IF(AQ137="2",BI137,0)</f>
        <v>0</v>
      </c>
      <c r="AH137" s="14">
        <f>IF(AQ137="0",BJ137,0)</f>
        <v>0</v>
      </c>
      <c r="AI137" s="43" t="s">
        <v>19</v>
      </c>
      <c r="AJ137" s="14">
        <f>IF(AN137=0,J137,0)</f>
        <v>0</v>
      </c>
      <c r="AK137" s="14">
        <f>IF(AN137=12,J137,0)</f>
        <v>0</v>
      </c>
      <c r="AL137" s="14">
        <f>IF(AN137=21,J137,0)</f>
        <v>0</v>
      </c>
      <c r="AN137" s="14">
        <v>21</v>
      </c>
      <c r="AO137" s="14">
        <f>G137*0.681239096</f>
        <v>0</v>
      </c>
      <c r="AP137" s="14">
        <f>G137*(1-0.681239096)</f>
        <v>0</v>
      </c>
      <c r="AQ137" s="13" t="s">
        <v>205</v>
      </c>
      <c r="AV137" s="14">
        <f>AW137+AX137</f>
        <v>0</v>
      </c>
      <c r="AW137" s="14">
        <f>F137*AO137</f>
        <v>0</v>
      </c>
      <c r="AX137" s="14">
        <f>F137*AP137</f>
        <v>0</v>
      </c>
      <c r="AY137" s="13" t="s">
        <v>484</v>
      </c>
      <c r="AZ137" s="13" t="s">
        <v>465</v>
      </c>
      <c r="BA137" s="43" t="s">
        <v>182</v>
      </c>
      <c r="BC137" s="14">
        <f>AW137+AX137</f>
        <v>0</v>
      </c>
      <c r="BD137" s="14">
        <f>G137/(100-BE137)*100</f>
        <v>0</v>
      </c>
      <c r="BE137" s="14">
        <v>0</v>
      </c>
      <c r="BF137" s="14">
        <f>137</f>
        <v>137</v>
      </c>
      <c r="BH137" s="14">
        <f>F137*AO137</f>
        <v>0</v>
      </c>
      <c r="BI137" s="14">
        <f>F137*AP137</f>
        <v>0</v>
      </c>
      <c r="BJ137" s="14">
        <f>F137*G137</f>
        <v>0</v>
      </c>
      <c r="BK137" s="14"/>
      <c r="BL137" s="14">
        <v>767</v>
      </c>
      <c r="BW137" s="14">
        <v>21</v>
      </c>
      <c r="BX137" s="4" t="s">
        <v>490</v>
      </c>
    </row>
    <row r="138" spans="1:76" ht="26" x14ac:dyDescent="0.35">
      <c r="A138" s="57"/>
      <c r="B138" s="58" t="s">
        <v>190</v>
      </c>
      <c r="C138" s="154" t="s">
        <v>790</v>
      </c>
      <c r="D138" s="155"/>
      <c r="E138" s="155"/>
      <c r="F138" s="155"/>
      <c r="G138" s="156"/>
      <c r="H138" s="155"/>
      <c r="I138" s="155"/>
      <c r="J138" s="157"/>
      <c r="BX138" s="59" t="s">
        <v>491</v>
      </c>
    </row>
    <row r="139" spans="1:76" ht="14.5" x14ac:dyDescent="0.35">
      <c r="A139" s="1" t="s">
        <v>492</v>
      </c>
      <c r="B139" s="2" t="s">
        <v>493</v>
      </c>
      <c r="C139" s="81" t="s">
        <v>494</v>
      </c>
      <c r="D139" s="75"/>
      <c r="E139" s="2" t="s">
        <v>495</v>
      </c>
      <c r="F139" s="14">
        <v>2.4531299999999998</v>
      </c>
      <c r="G139" s="55">
        <v>0</v>
      </c>
      <c r="H139" s="14">
        <f>F139*AO139</f>
        <v>0</v>
      </c>
      <c r="I139" s="14">
        <f>F139*AP139</f>
        <v>0</v>
      </c>
      <c r="J139" s="56">
        <f>F139*G139</f>
        <v>0</v>
      </c>
      <c r="Z139" s="14">
        <f>IF(AQ139="5",BJ139,0)</f>
        <v>0</v>
      </c>
      <c r="AB139" s="14">
        <f>IF(AQ139="1",BH139,0)</f>
        <v>0</v>
      </c>
      <c r="AC139" s="14">
        <f>IF(AQ139="1",BI139,0)</f>
        <v>0</v>
      </c>
      <c r="AD139" s="14">
        <f>IF(AQ139="7",BH139,0)</f>
        <v>0</v>
      </c>
      <c r="AE139" s="14">
        <f>IF(AQ139="7",BI139,0)</f>
        <v>0</v>
      </c>
      <c r="AF139" s="14">
        <f>IF(AQ139="2",BH139,0)</f>
        <v>0</v>
      </c>
      <c r="AG139" s="14">
        <f>IF(AQ139="2",BI139,0)</f>
        <v>0</v>
      </c>
      <c r="AH139" s="14">
        <f>IF(AQ139="0",BJ139,0)</f>
        <v>0</v>
      </c>
      <c r="AI139" s="43" t="s">
        <v>19</v>
      </c>
      <c r="AJ139" s="14">
        <f>IF(AN139=0,J139,0)</f>
        <v>0</v>
      </c>
      <c r="AK139" s="14">
        <f>IF(AN139=12,J139,0)</f>
        <v>0</v>
      </c>
      <c r="AL139" s="14">
        <f>IF(AN139=21,J139,0)</f>
        <v>0</v>
      </c>
      <c r="AN139" s="14">
        <v>21</v>
      </c>
      <c r="AO139" s="14">
        <f>G139*0.07710302</f>
        <v>0</v>
      </c>
      <c r="AP139" s="14">
        <f>G139*(1-0.07710302)</f>
        <v>0</v>
      </c>
      <c r="AQ139" s="13" t="s">
        <v>205</v>
      </c>
      <c r="AV139" s="14">
        <f>AW139+AX139</f>
        <v>0</v>
      </c>
      <c r="AW139" s="14">
        <f>F139*AO139</f>
        <v>0</v>
      </c>
      <c r="AX139" s="14">
        <f>F139*AP139</f>
        <v>0</v>
      </c>
      <c r="AY139" s="13" t="s">
        <v>484</v>
      </c>
      <c r="AZ139" s="13" t="s">
        <v>465</v>
      </c>
      <c r="BA139" s="43" t="s">
        <v>182</v>
      </c>
      <c r="BC139" s="14">
        <f>AW139+AX139</f>
        <v>0</v>
      </c>
      <c r="BD139" s="14">
        <f>G139/(100-BE139)*100</f>
        <v>0</v>
      </c>
      <c r="BE139" s="14">
        <v>0</v>
      </c>
      <c r="BF139" s="14">
        <f>139</f>
        <v>139</v>
      </c>
      <c r="BH139" s="14">
        <f>F139*AO139</f>
        <v>0</v>
      </c>
      <c r="BI139" s="14">
        <f>F139*AP139</f>
        <v>0</v>
      </c>
      <c r="BJ139" s="14">
        <f>F139*G139</f>
        <v>0</v>
      </c>
      <c r="BK139" s="14"/>
      <c r="BL139" s="14">
        <v>767</v>
      </c>
      <c r="BW139" s="14">
        <v>21</v>
      </c>
      <c r="BX139" s="4" t="s">
        <v>494</v>
      </c>
    </row>
    <row r="140" spans="1:76" ht="14.5" x14ac:dyDescent="0.35">
      <c r="A140" s="1" t="s">
        <v>496</v>
      </c>
      <c r="B140" s="2" t="s">
        <v>497</v>
      </c>
      <c r="C140" s="81" t="s">
        <v>498</v>
      </c>
      <c r="D140" s="75"/>
      <c r="E140" s="2" t="s">
        <v>495</v>
      </c>
      <c r="F140" s="14">
        <v>2.4562499999999998</v>
      </c>
      <c r="G140" s="55">
        <v>0</v>
      </c>
      <c r="H140" s="14">
        <f>F140*AO140</f>
        <v>0</v>
      </c>
      <c r="I140" s="14">
        <f>F140*AP140</f>
        <v>0</v>
      </c>
      <c r="J140" s="56">
        <f>F140*G140</f>
        <v>0</v>
      </c>
      <c r="Z140" s="14">
        <f>IF(AQ140="5",BJ140,0)</f>
        <v>0</v>
      </c>
      <c r="AB140" s="14">
        <f>IF(AQ140="1",BH140,0)</f>
        <v>0</v>
      </c>
      <c r="AC140" s="14">
        <f>IF(AQ140="1",BI140,0)</f>
        <v>0</v>
      </c>
      <c r="AD140" s="14">
        <f>IF(AQ140="7",BH140,0)</f>
        <v>0</v>
      </c>
      <c r="AE140" s="14">
        <f>IF(AQ140="7",BI140,0)</f>
        <v>0</v>
      </c>
      <c r="AF140" s="14">
        <f>IF(AQ140="2",BH140,0)</f>
        <v>0</v>
      </c>
      <c r="AG140" s="14">
        <f>IF(AQ140="2",BI140,0)</f>
        <v>0</v>
      </c>
      <c r="AH140" s="14">
        <f>IF(AQ140="0",BJ140,0)</f>
        <v>0</v>
      </c>
      <c r="AI140" s="43" t="s">
        <v>19</v>
      </c>
      <c r="AJ140" s="14">
        <f>IF(AN140=0,J140,0)</f>
        <v>0</v>
      </c>
      <c r="AK140" s="14">
        <f>IF(AN140=12,J140,0)</f>
        <v>0</v>
      </c>
      <c r="AL140" s="14">
        <f>IF(AN140=21,J140,0)</f>
        <v>0</v>
      </c>
      <c r="AN140" s="14">
        <v>21</v>
      </c>
      <c r="AO140" s="14">
        <f>G140*1</f>
        <v>0</v>
      </c>
      <c r="AP140" s="14">
        <f>G140*(1-1)</f>
        <v>0</v>
      </c>
      <c r="AQ140" s="13" t="s">
        <v>205</v>
      </c>
      <c r="AV140" s="14">
        <f>AW140+AX140</f>
        <v>0</v>
      </c>
      <c r="AW140" s="14">
        <f>F140*AO140</f>
        <v>0</v>
      </c>
      <c r="AX140" s="14">
        <f>F140*AP140</f>
        <v>0</v>
      </c>
      <c r="AY140" s="13" t="s">
        <v>484</v>
      </c>
      <c r="AZ140" s="13" t="s">
        <v>465</v>
      </c>
      <c r="BA140" s="43" t="s">
        <v>182</v>
      </c>
      <c r="BC140" s="14">
        <f>AW140+AX140</f>
        <v>0</v>
      </c>
      <c r="BD140" s="14">
        <f>G140/(100-BE140)*100</f>
        <v>0</v>
      </c>
      <c r="BE140" s="14">
        <v>0</v>
      </c>
      <c r="BF140" s="14">
        <f>140</f>
        <v>140</v>
      </c>
      <c r="BH140" s="14">
        <f>F140*AO140</f>
        <v>0</v>
      </c>
      <c r="BI140" s="14">
        <f>F140*AP140</f>
        <v>0</v>
      </c>
      <c r="BJ140" s="14">
        <f>F140*G140</f>
        <v>0</v>
      </c>
      <c r="BK140" s="14"/>
      <c r="BL140" s="14">
        <v>767</v>
      </c>
      <c r="BW140" s="14">
        <v>21</v>
      </c>
      <c r="BX140" s="4" t="s">
        <v>498</v>
      </c>
    </row>
    <row r="141" spans="1:76" ht="14.5" x14ac:dyDescent="0.35">
      <c r="A141" s="57"/>
      <c r="B141" s="58" t="s">
        <v>190</v>
      </c>
      <c r="C141" s="154" t="s">
        <v>499</v>
      </c>
      <c r="D141" s="155"/>
      <c r="E141" s="155"/>
      <c r="F141" s="155"/>
      <c r="G141" s="156"/>
      <c r="H141" s="155"/>
      <c r="I141" s="155"/>
      <c r="J141" s="157"/>
      <c r="BX141" s="59" t="s">
        <v>499</v>
      </c>
    </row>
    <row r="142" spans="1:76" ht="14.5" x14ac:dyDescent="0.35">
      <c r="A142" s="60" t="s">
        <v>19</v>
      </c>
      <c r="B142" s="61" t="s">
        <v>51</v>
      </c>
      <c r="C142" s="165" t="s">
        <v>52</v>
      </c>
      <c r="D142" s="166"/>
      <c r="E142" s="62" t="s">
        <v>3</v>
      </c>
      <c r="F142" s="62" t="s">
        <v>3</v>
      </c>
      <c r="G142" s="69" t="s">
        <v>3</v>
      </c>
      <c r="H142" s="38">
        <f>SUM(H143:H160)</f>
        <v>0</v>
      </c>
      <c r="I142" s="38">
        <f>SUM(I143:I160)</f>
        <v>0</v>
      </c>
      <c r="J142" s="64">
        <f>SUM(J143:J160)</f>
        <v>0</v>
      </c>
      <c r="AI142" s="43" t="s">
        <v>19</v>
      </c>
      <c r="AS142" s="38">
        <f>SUM(AJ143:AJ160)</f>
        <v>0</v>
      </c>
      <c r="AT142" s="38">
        <f>SUM(AK143:AK160)</f>
        <v>0</v>
      </c>
      <c r="AU142" s="38">
        <f>SUM(AL143:AL160)</f>
        <v>0</v>
      </c>
    </row>
    <row r="143" spans="1:76" ht="14.5" x14ac:dyDescent="0.35">
      <c r="A143" s="1" t="s">
        <v>59</v>
      </c>
      <c r="B143" s="2" t="s">
        <v>500</v>
      </c>
      <c r="C143" s="81" t="s">
        <v>501</v>
      </c>
      <c r="D143" s="75"/>
      <c r="E143" s="2" t="s">
        <v>232</v>
      </c>
      <c r="F143" s="14">
        <v>2.4500000000000002</v>
      </c>
      <c r="G143" s="55">
        <v>0</v>
      </c>
      <c r="H143" s="14">
        <f>F143*AO143</f>
        <v>0</v>
      </c>
      <c r="I143" s="14">
        <f>F143*AP143</f>
        <v>0</v>
      </c>
      <c r="J143" s="56">
        <f>F143*G143</f>
        <v>0</v>
      </c>
      <c r="Z143" s="14">
        <f>IF(AQ143="5",BJ143,0)</f>
        <v>0</v>
      </c>
      <c r="AB143" s="14">
        <f>IF(AQ143="1",BH143,0)</f>
        <v>0</v>
      </c>
      <c r="AC143" s="14">
        <f>IF(AQ143="1",BI143,0)</f>
        <v>0</v>
      </c>
      <c r="AD143" s="14">
        <f>IF(AQ143="7",BH143,0)</f>
        <v>0</v>
      </c>
      <c r="AE143" s="14">
        <f>IF(AQ143="7",BI143,0)</f>
        <v>0</v>
      </c>
      <c r="AF143" s="14">
        <f>IF(AQ143="2",BH143,0)</f>
        <v>0</v>
      </c>
      <c r="AG143" s="14">
        <f>IF(AQ143="2",BI143,0)</f>
        <v>0</v>
      </c>
      <c r="AH143" s="14">
        <f>IF(AQ143="0",BJ143,0)</f>
        <v>0</v>
      </c>
      <c r="AI143" s="43" t="s">
        <v>19</v>
      </c>
      <c r="AJ143" s="14">
        <f>IF(AN143=0,J143,0)</f>
        <v>0</v>
      </c>
      <c r="AK143" s="14">
        <f>IF(AN143=12,J143,0)</f>
        <v>0</v>
      </c>
      <c r="AL143" s="14">
        <f>IF(AN143=21,J143,0)</f>
        <v>0</v>
      </c>
      <c r="AN143" s="14">
        <v>21</v>
      </c>
      <c r="AO143" s="14">
        <f>G143*0</f>
        <v>0</v>
      </c>
      <c r="AP143" s="14">
        <f>G143*(1-0)</f>
        <v>0</v>
      </c>
      <c r="AQ143" s="13" t="s">
        <v>205</v>
      </c>
      <c r="AV143" s="14">
        <f>AW143+AX143</f>
        <v>0</v>
      </c>
      <c r="AW143" s="14">
        <f>F143*AO143</f>
        <v>0</v>
      </c>
      <c r="AX143" s="14">
        <f>F143*AP143</f>
        <v>0</v>
      </c>
      <c r="AY143" s="13" t="s">
        <v>502</v>
      </c>
      <c r="AZ143" s="13" t="s">
        <v>503</v>
      </c>
      <c r="BA143" s="43" t="s">
        <v>182</v>
      </c>
      <c r="BC143" s="14">
        <f>AW143+AX143</f>
        <v>0</v>
      </c>
      <c r="BD143" s="14">
        <f>G143/(100-BE143)*100</f>
        <v>0</v>
      </c>
      <c r="BE143" s="14">
        <v>0</v>
      </c>
      <c r="BF143" s="14">
        <f>143</f>
        <v>143</v>
      </c>
      <c r="BH143" s="14">
        <f>F143*AO143</f>
        <v>0</v>
      </c>
      <c r="BI143" s="14">
        <f>F143*AP143</f>
        <v>0</v>
      </c>
      <c r="BJ143" s="14">
        <f>F143*G143</f>
        <v>0</v>
      </c>
      <c r="BK143" s="14"/>
      <c r="BL143" s="14">
        <v>771</v>
      </c>
      <c r="BW143" s="14">
        <v>21</v>
      </c>
      <c r="BX143" s="4" t="s">
        <v>501</v>
      </c>
    </row>
    <row r="144" spans="1:76" ht="26" x14ac:dyDescent="0.35">
      <c r="A144" s="57"/>
      <c r="B144" s="58" t="s">
        <v>190</v>
      </c>
      <c r="C144" s="154" t="s">
        <v>504</v>
      </c>
      <c r="D144" s="155"/>
      <c r="E144" s="155"/>
      <c r="F144" s="155"/>
      <c r="G144" s="156"/>
      <c r="H144" s="155"/>
      <c r="I144" s="155"/>
      <c r="J144" s="157"/>
      <c r="BX144" s="59" t="s">
        <v>504</v>
      </c>
    </row>
    <row r="145" spans="1:76" ht="27" customHeight="1" x14ac:dyDescent="0.35">
      <c r="A145" s="1" t="s">
        <v>61</v>
      </c>
      <c r="B145" s="2" t="s">
        <v>505</v>
      </c>
      <c r="C145" s="81" t="s">
        <v>506</v>
      </c>
      <c r="D145" s="75"/>
      <c r="E145" s="2" t="s">
        <v>215</v>
      </c>
      <c r="F145" s="14">
        <v>1</v>
      </c>
      <c r="G145" s="55">
        <v>0</v>
      </c>
      <c r="H145" s="14">
        <f>F145*AO145</f>
        <v>0</v>
      </c>
      <c r="I145" s="14">
        <f>F145*AP145</f>
        <v>0</v>
      </c>
      <c r="J145" s="56">
        <f>F145*G145</f>
        <v>0</v>
      </c>
      <c r="Z145" s="14">
        <f>IF(AQ145="5",BJ145,0)</f>
        <v>0</v>
      </c>
      <c r="AB145" s="14">
        <f>IF(AQ145="1",BH145,0)</f>
        <v>0</v>
      </c>
      <c r="AC145" s="14">
        <f>IF(AQ145="1",BI145,0)</f>
        <v>0</v>
      </c>
      <c r="AD145" s="14">
        <f>IF(AQ145="7",BH145,0)</f>
        <v>0</v>
      </c>
      <c r="AE145" s="14">
        <f>IF(AQ145="7",BI145,0)</f>
        <v>0</v>
      </c>
      <c r="AF145" s="14">
        <f>IF(AQ145="2",BH145,0)</f>
        <v>0</v>
      </c>
      <c r="AG145" s="14">
        <f>IF(AQ145="2",BI145,0)</f>
        <v>0</v>
      </c>
      <c r="AH145" s="14">
        <f>IF(AQ145="0",BJ145,0)</f>
        <v>0</v>
      </c>
      <c r="AI145" s="43" t="s">
        <v>19</v>
      </c>
      <c r="AJ145" s="14">
        <f>IF(AN145=0,J145,0)</f>
        <v>0</v>
      </c>
      <c r="AK145" s="14">
        <f>IF(AN145=12,J145,0)</f>
        <v>0</v>
      </c>
      <c r="AL145" s="14">
        <f>IF(AN145=21,J145,0)</f>
        <v>0</v>
      </c>
      <c r="AN145" s="14">
        <v>21</v>
      </c>
      <c r="AO145" s="14">
        <f>G145*1</f>
        <v>0</v>
      </c>
      <c r="AP145" s="14">
        <f>G145*(1-1)</f>
        <v>0</v>
      </c>
      <c r="AQ145" s="13" t="s">
        <v>205</v>
      </c>
      <c r="AV145" s="14">
        <f>AW145+AX145</f>
        <v>0</v>
      </c>
      <c r="AW145" s="14">
        <f>F145*AO145</f>
        <v>0</v>
      </c>
      <c r="AX145" s="14">
        <f>F145*AP145</f>
        <v>0</v>
      </c>
      <c r="AY145" s="13" t="s">
        <v>502</v>
      </c>
      <c r="AZ145" s="13" t="s">
        <v>503</v>
      </c>
      <c r="BA145" s="43" t="s">
        <v>182</v>
      </c>
      <c r="BC145" s="14">
        <f>AW145+AX145</f>
        <v>0</v>
      </c>
      <c r="BD145" s="14">
        <f>G145/(100-BE145)*100</f>
        <v>0</v>
      </c>
      <c r="BE145" s="14">
        <v>0</v>
      </c>
      <c r="BF145" s="14">
        <f>145</f>
        <v>145</v>
      </c>
      <c r="BH145" s="14">
        <f>F145*AO145</f>
        <v>0</v>
      </c>
      <c r="BI145" s="14">
        <f>F145*AP145</f>
        <v>0</v>
      </c>
      <c r="BJ145" s="14">
        <f>F145*G145</f>
        <v>0</v>
      </c>
      <c r="BK145" s="14"/>
      <c r="BL145" s="14">
        <v>771</v>
      </c>
      <c r="BW145" s="14">
        <v>21</v>
      </c>
      <c r="BX145" s="4" t="s">
        <v>506</v>
      </c>
    </row>
    <row r="146" spans="1:76" ht="14.5" x14ac:dyDescent="0.35">
      <c r="A146" s="57"/>
      <c r="B146" s="58" t="s">
        <v>190</v>
      </c>
      <c r="C146" s="154" t="s">
        <v>507</v>
      </c>
      <c r="D146" s="155"/>
      <c r="E146" s="155"/>
      <c r="F146" s="155"/>
      <c r="G146" s="156"/>
      <c r="H146" s="155"/>
      <c r="I146" s="155"/>
      <c r="J146" s="157"/>
      <c r="BX146" s="59" t="s">
        <v>507</v>
      </c>
    </row>
    <row r="147" spans="1:76" ht="14.5" x14ac:dyDescent="0.35">
      <c r="A147" s="1" t="s">
        <v>63</v>
      </c>
      <c r="B147" s="2" t="s">
        <v>508</v>
      </c>
      <c r="C147" s="81" t="s">
        <v>509</v>
      </c>
      <c r="D147" s="75"/>
      <c r="E147" s="2" t="s">
        <v>203</v>
      </c>
      <c r="F147" s="14">
        <v>7.5</v>
      </c>
      <c r="G147" s="55">
        <v>0</v>
      </c>
      <c r="H147" s="14">
        <f>F147*AO147</f>
        <v>0</v>
      </c>
      <c r="I147" s="14">
        <f>F147*AP147</f>
        <v>0</v>
      </c>
      <c r="J147" s="56">
        <f>F147*G147</f>
        <v>0</v>
      </c>
      <c r="Z147" s="14">
        <f>IF(AQ147="5",BJ147,0)</f>
        <v>0</v>
      </c>
      <c r="AB147" s="14">
        <f>IF(AQ147="1",BH147,0)</f>
        <v>0</v>
      </c>
      <c r="AC147" s="14">
        <f>IF(AQ147="1",BI147,0)</f>
        <v>0</v>
      </c>
      <c r="AD147" s="14">
        <f>IF(AQ147="7",BH147,0)</f>
        <v>0</v>
      </c>
      <c r="AE147" s="14">
        <f>IF(AQ147="7",BI147,0)</f>
        <v>0</v>
      </c>
      <c r="AF147" s="14">
        <f>IF(AQ147="2",BH147,0)</f>
        <v>0</v>
      </c>
      <c r="AG147" s="14">
        <f>IF(AQ147="2",BI147,0)</f>
        <v>0</v>
      </c>
      <c r="AH147" s="14">
        <f>IF(AQ147="0",BJ147,0)</f>
        <v>0</v>
      </c>
      <c r="AI147" s="43" t="s">
        <v>19</v>
      </c>
      <c r="AJ147" s="14">
        <f>IF(AN147=0,J147,0)</f>
        <v>0</v>
      </c>
      <c r="AK147" s="14">
        <f>IF(AN147=12,J147,0)</f>
        <v>0</v>
      </c>
      <c r="AL147" s="14">
        <f>IF(AN147=21,J147,0)</f>
        <v>0</v>
      </c>
      <c r="AN147" s="14">
        <v>21</v>
      </c>
      <c r="AO147" s="14">
        <f>G147*0.244816688</f>
        <v>0</v>
      </c>
      <c r="AP147" s="14">
        <f>G147*(1-0.244816688)</f>
        <v>0</v>
      </c>
      <c r="AQ147" s="13" t="s">
        <v>205</v>
      </c>
      <c r="AV147" s="14">
        <f>AW147+AX147</f>
        <v>0</v>
      </c>
      <c r="AW147" s="14">
        <f>F147*AO147</f>
        <v>0</v>
      </c>
      <c r="AX147" s="14">
        <f>F147*AP147</f>
        <v>0</v>
      </c>
      <c r="AY147" s="13" t="s">
        <v>502</v>
      </c>
      <c r="AZ147" s="13" t="s">
        <v>503</v>
      </c>
      <c r="BA147" s="43" t="s">
        <v>182</v>
      </c>
      <c r="BC147" s="14">
        <f>AW147+AX147</f>
        <v>0</v>
      </c>
      <c r="BD147" s="14">
        <f>G147/(100-BE147)*100</f>
        <v>0</v>
      </c>
      <c r="BE147" s="14">
        <v>0</v>
      </c>
      <c r="BF147" s="14">
        <f>147</f>
        <v>147</v>
      </c>
      <c r="BH147" s="14">
        <f>F147*AO147</f>
        <v>0</v>
      </c>
      <c r="BI147" s="14">
        <f>F147*AP147</f>
        <v>0</v>
      </c>
      <c r="BJ147" s="14">
        <f>F147*G147</f>
        <v>0</v>
      </c>
      <c r="BK147" s="14"/>
      <c r="BL147" s="14">
        <v>771</v>
      </c>
      <c r="BW147" s="14">
        <v>21</v>
      </c>
      <c r="BX147" s="4" t="s">
        <v>509</v>
      </c>
    </row>
    <row r="148" spans="1:76" ht="14.5" x14ac:dyDescent="0.35">
      <c r="A148" s="57"/>
      <c r="B148" s="58" t="s">
        <v>190</v>
      </c>
      <c r="C148" s="154" t="s">
        <v>510</v>
      </c>
      <c r="D148" s="155"/>
      <c r="E148" s="155"/>
      <c r="F148" s="155"/>
      <c r="G148" s="156"/>
      <c r="H148" s="155"/>
      <c r="I148" s="155"/>
      <c r="J148" s="157"/>
      <c r="BX148" s="59" t="s">
        <v>510</v>
      </c>
    </row>
    <row r="149" spans="1:76" ht="14.5" x14ac:dyDescent="0.35">
      <c r="A149" s="1" t="s">
        <v>65</v>
      </c>
      <c r="B149" s="2" t="s">
        <v>511</v>
      </c>
      <c r="C149" s="81" t="s">
        <v>512</v>
      </c>
      <c r="D149" s="75"/>
      <c r="E149" s="2" t="s">
        <v>203</v>
      </c>
      <c r="F149" s="14">
        <v>8.1</v>
      </c>
      <c r="G149" s="55">
        <v>0</v>
      </c>
      <c r="H149" s="14">
        <f>F149*AO149</f>
        <v>0</v>
      </c>
      <c r="I149" s="14">
        <f>F149*AP149</f>
        <v>0</v>
      </c>
      <c r="J149" s="56">
        <f>F149*G149</f>
        <v>0</v>
      </c>
      <c r="Z149" s="14">
        <f>IF(AQ149="5",BJ149,0)</f>
        <v>0</v>
      </c>
      <c r="AB149" s="14">
        <f>IF(AQ149="1",BH149,0)</f>
        <v>0</v>
      </c>
      <c r="AC149" s="14">
        <f>IF(AQ149="1",BI149,0)</f>
        <v>0</v>
      </c>
      <c r="AD149" s="14">
        <f>IF(AQ149="7",BH149,0)</f>
        <v>0</v>
      </c>
      <c r="AE149" s="14">
        <f>IF(AQ149="7",BI149,0)</f>
        <v>0</v>
      </c>
      <c r="AF149" s="14">
        <f>IF(AQ149="2",BH149,0)</f>
        <v>0</v>
      </c>
      <c r="AG149" s="14">
        <f>IF(AQ149="2",BI149,0)</f>
        <v>0</v>
      </c>
      <c r="AH149" s="14">
        <f>IF(AQ149="0",BJ149,0)</f>
        <v>0</v>
      </c>
      <c r="AI149" s="43" t="s">
        <v>19</v>
      </c>
      <c r="AJ149" s="14">
        <f>IF(AN149=0,J149,0)</f>
        <v>0</v>
      </c>
      <c r="AK149" s="14">
        <f>IF(AN149=12,J149,0)</f>
        <v>0</v>
      </c>
      <c r="AL149" s="14">
        <f>IF(AN149=21,J149,0)</f>
        <v>0</v>
      </c>
      <c r="AN149" s="14">
        <v>21</v>
      </c>
      <c r="AO149" s="14">
        <f>G149*1</f>
        <v>0</v>
      </c>
      <c r="AP149" s="14">
        <f>G149*(1-1)</f>
        <v>0</v>
      </c>
      <c r="AQ149" s="13" t="s">
        <v>205</v>
      </c>
      <c r="AV149" s="14">
        <f>AW149+AX149</f>
        <v>0</v>
      </c>
      <c r="AW149" s="14">
        <f>F149*AO149</f>
        <v>0</v>
      </c>
      <c r="AX149" s="14">
        <f>F149*AP149</f>
        <v>0</v>
      </c>
      <c r="AY149" s="13" t="s">
        <v>502</v>
      </c>
      <c r="AZ149" s="13" t="s">
        <v>503</v>
      </c>
      <c r="BA149" s="43" t="s">
        <v>182</v>
      </c>
      <c r="BC149" s="14">
        <f>AW149+AX149</f>
        <v>0</v>
      </c>
      <c r="BD149" s="14">
        <f>G149/(100-BE149)*100</f>
        <v>0</v>
      </c>
      <c r="BE149" s="14">
        <v>0</v>
      </c>
      <c r="BF149" s="14">
        <f>149</f>
        <v>149</v>
      </c>
      <c r="BH149" s="14">
        <f>F149*AO149</f>
        <v>0</v>
      </c>
      <c r="BI149" s="14">
        <f>F149*AP149</f>
        <v>0</v>
      </c>
      <c r="BJ149" s="14">
        <f>F149*G149</f>
        <v>0</v>
      </c>
      <c r="BK149" s="14"/>
      <c r="BL149" s="14">
        <v>771</v>
      </c>
      <c r="BW149" s="14">
        <v>21</v>
      </c>
      <c r="BX149" s="4" t="s">
        <v>512</v>
      </c>
    </row>
    <row r="150" spans="1:76" ht="26" x14ac:dyDescent="0.35">
      <c r="A150" s="57"/>
      <c r="B150" s="58" t="s">
        <v>190</v>
      </c>
      <c r="C150" s="154" t="s">
        <v>513</v>
      </c>
      <c r="D150" s="155"/>
      <c r="E150" s="155"/>
      <c r="F150" s="155"/>
      <c r="G150" s="156"/>
      <c r="H150" s="155"/>
      <c r="I150" s="155"/>
      <c r="J150" s="157"/>
      <c r="BX150" s="59" t="s">
        <v>513</v>
      </c>
    </row>
    <row r="151" spans="1:76" ht="14.5" x14ac:dyDescent="0.35">
      <c r="A151" s="1" t="s">
        <v>514</v>
      </c>
      <c r="B151" s="2" t="s">
        <v>515</v>
      </c>
      <c r="C151" s="81" t="s">
        <v>516</v>
      </c>
      <c r="D151" s="75"/>
      <c r="E151" s="2" t="s">
        <v>203</v>
      </c>
      <c r="F151" s="14">
        <v>15.5</v>
      </c>
      <c r="G151" s="55">
        <v>0</v>
      </c>
      <c r="H151" s="14">
        <f>F151*AO151</f>
        <v>0</v>
      </c>
      <c r="I151" s="14">
        <f>F151*AP151</f>
        <v>0</v>
      </c>
      <c r="J151" s="56">
        <f>F151*G151</f>
        <v>0</v>
      </c>
      <c r="Z151" s="14">
        <f>IF(AQ151="5",BJ151,0)</f>
        <v>0</v>
      </c>
      <c r="AB151" s="14">
        <f>IF(AQ151="1",BH151,0)</f>
        <v>0</v>
      </c>
      <c r="AC151" s="14">
        <f>IF(AQ151="1",BI151,0)</f>
        <v>0</v>
      </c>
      <c r="AD151" s="14">
        <f>IF(AQ151="7",BH151,0)</f>
        <v>0</v>
      </c>
      <c r="AE151" s="14">
        <f>IF(AQ151="7",BI151,0)</f>
        <v>0</v>
      </c>
      <c r="AF151" s="14">
        <f>IF(AQ151="2",BH151,0)</f>
        <v>0</v>
      </c>
      <c r="AG151" s="14">
        <f>IF(AQ151="2",BI151,0)</f>
        <v>0</v>
      </c>
      <c r="AH151" s="14">
        <f>IF(AQ151="0",BJ151,0)</f>
        <v>0</v>
      </c>
      <c r="AI151" s="43" t="s">
        <v>19</v>
      </c>
      <c r="AJ151" s="14">
        <f>IF(AN151=0,J151,0)</f>
        <v>0</v>
      </c>
      <c r="AK151" s="14">
        <f>IF(AN151=12,J151,0)</f>
        <v>0</v>
      </c>
      <c r="AL151" s="14">
        <f>IF(AN151=21,J151,0)</f>
        <v>0</v>
      </c>
      <c r="AN151" s="14">
        <v>21</v>
      </c>
      <c r="AO151" s="14">
        <f>G151*0.215035533</f>
        <v>0</v>
      </c>
      <c r="AP151" s="14">
        <f>G151*(1-0.215035533)</f>
        <v>0</v>
      </c>
      <c r="AQ151" s="13" t="s">
        <v>205</v>
      </c>
      <c r="AV151" s="14">
        <f>AW151+AX151</f>
        <v>0</v>
      </c>
      <c r="AW151" s="14">
        <f>F151*AO151</f>
        <v>0</v>
      </c>
      <c r="AX151" s="14">
        <f>F151*AP151</f>
        <v>0</v>
      </c>
      <c r="AY151" s="13" t="s">
        <v>502</v>
      </c>
      <c r="AZ151" s="13" t="s">
        <v>503</v>
      </c>
      <c r="BA151" s="43" t="s">
        <v>182</v>
      </c>
      <c r="BC151" s="14">
        <f>AW151+AX151</f>
        <v>0</v>
      </c>
      <c r="BD151" s="14">
        <f>G151/(100-BE151)*100</f>
        <v>0</v>
      </c>
      <c r="BE151" s="14">
        <v>0</v>
      </c>
      <c r="BF151" s="14">
        <f>151</f>
        <v>151</v>
      </c>
      <c r="BH151" s="14">
        <f>F151*AO151</f>
        <v>0</v>
      </c>
      <c r="BI151" s="14">
        <f>F151*AP151</f>
        <v>0</v>
      </c>
      <c r="BJ151" s="14">
        <f>F151*G151</f>
        <v>0</v>
      </c>
      <c r="BK151" s="14"/>
      <c r="BL151" s="14">
        <v>771</v>
      </c>
      <c r="BW151" s="14">
        <v>21</v>
      </c>
      <c r="BX151" s="4" t="s">
        <v>516</v>
      </c>
    </row>
    <row r="152" spans="1:76" ht="14.5" x14ac:dyDescent="0.35">
      <c r="A152" s="57"/>
      <c r="B152" s="58" t="s">
        <v>190</v>
      </c>
      <c r="C152" s="154" t="s">
        <v>510</v>
      </c>
      <c r="D152" s="155"/>
      <c r="E152" s="155"/>
      <c r="F152" s="155"/>
      <c r="G152" s="156"/>
      <c r="H152" s="155"/>
      <c r="I152" s="155"/>
      <c r="J152" s="157"/>
      <c r="BX152" s="59" t="s">
        <v>510</v>
      </c>
    </row>
    <row r="153" spans="1:76" ht="27" customHeight="1" x14ac:dyDescent="0.35">
      <c r="A153" s="1" t="s">
        <v>517</v>
      </c>
      <c r="B153" s="2" t="s">
        <v>518</v>
      </c>
      <c r="C153" s="81" t="s">
        <v>519</v>
      </c>
      <c r="D153" s="75"/>
      <c r="E153" s="2" t="s">
        <v>203</v>
      </c>
      <c r="F153" s="14">
        <v>16.739999999999998</v>
      </c>
      <c r="G153" s="55">
        <v>0</v>
      </c>
      <c r="H153" s="14">
        <f>F153*AO153</f>
        <v>0</v>
      </c>
      <c r="I153" s="14">
        <f>F153*AP153</f>
        <v>0</v>
      </c>
      <c r="J153" s="56">
        <f>F153*G153</f>
        <v>0</v>
      </c>
      <c r="Z153" s="14">
        <f>IF(AQ153="5",BJ153,0)</f>
        <v>0</v>
      </c>
      <c r="AB153" s="14">
        <f>IF(AQ153="1",BH153,0)</f>
        <v>0</v>
      </c>
      <c r="AC153" s="14">
        <f>IF(AQ153="1",BI153,0)</f>
        <v>0</v>
      </c>
      <c r="AD153" s="14">
        <f>IF(AQ153="7",BH153,0)</f>
        <v>0</v>
      </c>
      <c r="AE153" s="14">
        <f>IF(AQ153="7",BI153,0)</f>
        <v>0</v>
      </c>
      <c r="AF153" s="14">
        <f>IF(AQ153="2",BH153,0)</f>
        <v>0</v>
      </c>
      <c r="AG153" s="14">
        <f>IF(AQ153="2",BI153,0)</f>
        <v>0</v>
      </c>
      <c r="AH153" s="14">
        <f>IF(AQ153="0",BJ153,0)</f>
        <v>0</v>
      </c>
      <c r="AI153" s="43" t="s">
        <v>19</v>
      </c>
      <c r="AJ153" s="14">
        <f>IF(AN153=0,J153,0)</f>
        <v>0</v>
      </c>
      <c r="AK153" s="14">
        <f>IF(AN153=12,J153,0)</f>
        <v>0</v>
      </c>
      <c r="AL153" s="14">
        <f>IF(AN153=21,J153,0)</f>
        <v>0</v>
      </c>
      <c r="AN153" s="14">
        <v>21</v>
      </c>
      <c r="AO153" s="14">
        <f>G153*1</f>
        <v>0</v>
      </c>
      <c r="AP153" s="14">
        <f>G153*(1-1)</f>
        <v>0</v>
      </c>
      <c r="AQ153" s="13" t="s">
        <v>205</v>
      </c>
      <c r="AV153" s="14">
        <f>AW153+AX153</f>
        <v>0</v>
      </c>
      <c r="AW153" s="14">
        <f>F153*AO153</f>
        <v>0</v>
      </c>
      <c r="AX153" s="14">
        <f>F153*AP153</f>
        <v>0</v>
      </c>
      <c r="AY153" s="13" t="s">
        <v>502</v>
      </c>
      <c r="AZ153" s="13" t="s">
        <v>503</v>
      </c>
      <c r="BA153" s="43" t="s">
        <v>182</v>
      </c>
      <c r="BC153" s="14">
        <f>AW153+AX153</f>
        <v>0</v>
      </c>
      <c r="BD153" s="14">
        <f>G153/(100-BE153)*100</f>
        <v>0</v>
      </c>
      <c r="BE153" s="14">
        <v>0</v>
      </c>
      <c r="BF153" s="14">
        <f>153</f>
        <v>153</v>
      </c>
      <c r="BH153" s="14">
        <f>F153*AO153</f>
        <v>0</v>
      </c>
      <c r="BI153" s="14">
        <f>F153*AP153</f>
        <v>0</v>
      </c>
      <c r="BJ153" s="14">
        <f>F153*G153</f>
        <v>0</v>
      </c>
      <c r="BK153" s="14"/>
      <c r="BL153" s="14">
        <v>771</v>
      </c>
      <c r="BW153" s="14">
        <v>21</v>
      </c>
      <c r="BX153" s="4" t="s">
        <v>519</v>
      </c>
    </row>
    <row r="154" spans="1:76" ht="26" x14ac:dyDescent="0.35">
      <c r="A154" s="57"/>
      <c r="B154" s="58" t="s">
        <v>190</v>
      </c>
      <c r="C154" s="154" t="s">
        <v>513</v>
      </c>
      <c r="D154" s="155"/>
      <c r="E154" s="155"/>
      <c r="F154" s="155"/>
      <c r="G154" s="156"/>
      <c r="H154" s="155"/>
      <c r="I154" s="155"/>
      <c r="J154" s="157"/>
      <c r="BX154" s="59" t="s">
        <v>513</v>
      </c>
    </row>
    <row r="155" spans="1:76" ht="14.5" x14ac:dyDescent="0.35">
      <c r="A155" s="1" t="s">
        <v>520</v>
      </c>
      <c r="B155" s="2" t="s">
        <v>521</v>
      </c>
      <c r="C155" s="81" t="s">
        <v>522</v>
      </c>
      <c r="D155" s="75"/>
      <c r="E155" s="2" t="s">
        <v>203</v>
      </c>
      <c r="F155" s="14">
        <v>4.5999999999999996</v>
      </c>
      <c r="G155" s="55">
        <v>0</v>
      </c>
      <c r="H155" s="14">
        <f>F155*AO155</f>
        <v>0</v>
      </c>
      <c r="I155" s="14">
        <f>F155*AP155</f>
        <v>0</v>
      </c>
      <c r="J155" s="56">
        <f>F155*G155</f>
        <v>0</v>
      </c>
      <c r="Z155" s="14">
        <f>IF(AQ155="5",BJ155,0)</f>
        <v>0</v>
      </c>
      <c r="AB155" s="14">
        <f>IF(AQ155="1",BH155,0)</f>
        <v>0</v>
      </c>
      <c r="AC155" s="14">
        <f>IF(AQ155="1",BI155,0)</f>
        <v>0</v>
      </c>
      <c r="AD155" s="14">
        <f>IF(AQ155="7",BH155,0)</f>
        <v>0</v>
      </c>
      <c r="AE155" s="14">
        <f>IF(AQ155="7",BI155,0)</f>
        <v>0</v>
      </c>
      <c r="AF155" s="14">
        <f>IF(AQ155="2",BH155,0)</f>
        <v>0</v>
      </c>
      <c r="AG155" s="14">
        <f>IF(AQ155="2",BI155,0)</f>
        <v>0</v>
      </c>
      <c r="AH155" s="14">
        <f>IF(AQ155="0",BJ155,0)</f>
        <v>0</v>
      </c>
      <c r="AI155" s="43" t="s">
        <v>19</v>
      </c>
      <c r="AJ155" s="14">
        <f>IF(AN155=0,J155,0)</f>
        <v>0</v>
      </c>
      <c r="AK155" s="14">
        <f>IF(AN155=12,J155,0)</f>
        <v>0</v>
      </c>
      <c r="AL155" s="14">
        <f>IF(AN155=21,J155,0)</f>
        <v>0</v>
      </c>
      <c r="AN155" s="14">
        <v>21</v>
      </c>
      <c r="AO155" s="14">
        <f>G155*0.201304965</f>
        <v>0</v>
      </c>
      <c r="AP155" s="14">
        <f>G155*(1-0.201304965)</f>
        <v>0</v>
      </c>
      <c r="AQ155" s="13" t="s">
        <v>205</v>
      </c>
      <c r="AV155" s="14">
        <f>AW155+AX155</f>
        <v>0</v>
      </c>
      <c r="AW155" s="14">
        <f>F155*AO155</f>
        <v>0</v>
      </c>
      <c r="AX155" s="14">
        <f>F155*AP155</f>
        <v>0</v>
      </c>
      <c r="AY155" s="13" t="s">
        <v>502</v>
      </c>
      <c r="AZ155" s="13" t="s">
        <v>503</v>
      </c>
      <c r="BA155" s="43" t="s">
        <v>182</v>
      </c>
      <c r="BC155" s="14">
        <f>AW155+AX155</f>
        <v>0</v>
      </c>
      <c r="BD155" s="14">
        <f>G155/(100-BE155)*100</f>
        <v>0</v>
      </c>
      <c r="BE155" s="14">
        <v>0</v>
      </c>
      <c r="BF155" s="14">
        <f>155</f>
        <v>155</v>
      </c>
      <c r="BH155" s="14">
        <f>F155*AO155</f>
        <v>0</v>
      </c>
      <c r="BI155" s="14">
        <f>F155*AP155</f>
        <v>0</v>
      </c>
      <c r="BJ155" s="14">
        <f>F155*G155</f>
        <v>0</v>
      </c>
      <c r="BK155" s="14"/>
      <c r="BL155" s="14">
        <v>771</v>
      </c>
      <c r="BW155" s="14">
        <v>21</v>
      </c>
      <c r="BX155" s="4" t="s">
        <v>522</v>
      </c>
    </row>
    <row r="156" spans="1:76" ht="14.5" x14ac:dyDescent="0.35">
      <c r="A156" s="57"/>
      <c r="B156" s="58" t="s">
        <v>190</v>
      </c>
      <c r="C156" s="154" t="s">
        <v>523</v>
      </c>
      <c r="D156" s="155"/>
      <c r="E156" s="155"/>
      <c r="F156" s="155"/>
      <c r="G156" s="156"/>
      <c r="H156" s="155"/>
      <c r="I156" s="155"/>
      <c r="J156" s="157"/>
      <c r="BX156" s="59" t="s">
        <v>523</v>
      </c>
    </row>
    <row r="157" spans="1:76" ht="27" customHeight="1" x14ac:dyDescent="0.35">
      <c r="A157" s="1" t="s">
        <v>524</v>
      </c>
      <c r="B157" s="2" t="s">
        <v>525</v>
      </c>
      <c r="C157" s="81" t="s">
        <v>526</v>
      </c>
      <c r="D157" s="75"/>
      <c r="E157" s="2" t="s">
        <v>203</v>
      </c>
      <c r="F157" s="14">
        <v>4.968</v>
      </c>
      <c r="G157" s="55">
        <v>0</v>
      </c>
      <c r="H157" s="14">
        <f>F157*AO157</f>
        <v>0</v>
      </c>
      <c r="I157" s="14">
        <f>F157*AP157</f>
        <v>0</v>
      </c>
      <c r="J157" s="56">
        <f>F157*G157</f>
        <v>0</v>
      </c>
      <c r="Z157" s="14">
        <f>IF(AQ157="5",BJ157,0)</f>
        <v>0</v>
      </c>
      <c r="AB157" s="14">
        <f>IF(AQ157="1",BH157,0)</f>
        <v>0</v>
      </c>
      <c r="AC157" s="14">
        <f>IF(AQ157="1",BI157,0)</f>
        <v>0</v>
      </c>
      <c r="AD157" s="14">
        <f>IF(AQ157="7",BH157,0)</f>
        <v>0</v>
      </c>
      <c r="AE157" s="14">
        <f>IF(AQ157="7",BI157,0)</f>
        <v>0</v>
      </c>
      <c r="AF157" s="14">
        <f>IF(AQ157="2",BH157,0)</f>
        <v>0</v>
      </c>
      <c r="AG157" s="14">
        <f>IF(AQ157="2",BI157,0)</f>
        <v>0</v>
      </c>
      <c r="AH157" s="14">
        <f>IF(AQ157="0",BJ157,0)</f>
        <v>0</v>
      </c>
      <c r="AI157" s="43" t="s">
        <v>19</v>
      </c>
      <c r="AJ157" s="14">
        <f>IF(AN157=0,J157,0)</f>
        <v>0</v>
      </c>
      <c r="AK157" s="14">
        <f>IF(AN157=12,J157,0)</f>
        <v>0</v>
      </c>
      <c r="AL157" s="14">
        <f>IF(AN157=21,J157,0)</f>
        <v>0</v>
      </c>
      <c r="AN157" s="14">
        <v>21</v>
      </c>
      <c r="AO157" s="14">
        <f>G157*1</f>
        <v>0</v>
      </c>
      <c r="AP157" s="14">
        <f>G157*(1-1)</f>
        <v>0</v>
      </c>
      <c r="AQ157" s="13" t="s">
        <v>205</v>
      </c>
      <c r="AV157" s="14">
        <f>AW157+AX157</f>
        <v>0</v>
      </c>
      <c r="AW157" s="14">
        <f>F157*AO157</f>
        <v>0</v>
      </c>
      <c r="AX157" s="14">
        <f>F157*AP157</f>
        <v>0</v>
      </c>
      <c r="AY157" s="13" t="s">
        <v>502</v>
      </c>
      <c r="AZ157" s="13" t="s">
        <v>503</v>
      </c>
      <c r="BA157" s="43" t="s">
        <v>182</v>
      </c>
      <c r="BC157" s="14">
        <f>AW157+AX157</f>
        <v>0</v>
      </c>
      <c r="BD157" s="14">
        <f>G157/(100-BE157)*100</f>
        <v>0</v>
      </c>
      <c r="BE157" s="14">
        <v>0</v>
      </c>
      <c r="BF157" s="14">
        <f>157</f>
        <v>157</v>
      </c>
      <c r="BH157" s="14">
        <f>F157*AO157</f>
        <v>0</v>
      </c>
      <c r="BI157" s="14">
        <f>F157*AP157</f>
        <v>0</v>
      </c>
      <c r="BJ157" s="14">
        <f>F157*G157</f>
        <v>0</v>
      </c>
      <c r="BK157" s="14"/>
      <c r="BL157" s="14">
        <v>771</v>
      </c>
      <c r="BW157" s="14">
        <v>21</v>
      </c>
      <c r="BX157" s="4" t="s">
        <v>526</v>
      </c>
    </row>
    <row r="158" spans="1:76" ht="26" x14ac:dyDescent="0.35">
      <c r="A158" s="57"/>
      <c r="B158" s="58" t="s">
        <v>190</v>
      </c>
      <c r="C158" s="154" t="s">
        <v>513</v>
      </c>
      <c r="D158" s="155"/>
      <c r="E158" s="155"/>
      <c r="F158" s="155"/>
      <c r="G158" s="156"/>
      <c r="H158" s="155"/>
      <c r="I158" s="155"/>
      <c r="J158" s="157"/>
      <c r="BX158" s="59" t="s">
        <v>513</v>
      </c>
    </row>
    <row r="159" spans="1:76" ht="14.5" x14ac:dyDescent="0.35">
      <c r="A159" s="1" t="s">
        <v>527</v>
      </c>
      <c r="B159" s="2" t="s">
        <v>528</v>
      </c>
      <c r="C159" s="81" t="s">
        <v>529</v>
      </c>
      <c r="D159" s="75"/>
      <c r="E159" s="2" t="s">
        <v>232</v>
      </c>
      <c r="F159" s="14">
        <v>46.984999999999999</v>
      </c>
      <c r="G159" s="55">
        <v>0</v>
      </c>
      <c r="H159" s="14">
        <f>F159*AO159</f>
        <v>0</v>
      </c>
      <c r="I159" s="14">
        <f>F159*AP159</f>
        <v>0</v>
      </c>
      <c r="J159" s="56">
        <f>F159*G159</f>
        <v>0</v>
      </c>
      <c r="Z159" s="14">
        <f>IF(AQ159="5",BJ159,0)</f>
        <v>0</v>
      </c>
      <c r="AB159" s="14">
        <f>IF(AQ159="1",BH159,0)</f>
        <v>0</v>
      </c>
      <c r="AC159" s="14">
        <f>IF(AQ159="1",BI159,0)</f>
        <v>0</v>
      </c>
      <c r="AD159" s="14">
        <f>IF(AQ159="7",BH159,0)</f>
        <v>0</v>
      </c>
      <c r="AE159" s="14">
        <f>IF(AQ159="7",BI159,0)</f>
        <v>0</v>
      </c>
      <c r="AF159" s="14">
        <f>IF(AQ159="2",BH159,0)</f>
        <v>0</v>
      </c>
      <c r="AG159" s="14">
        <f>IF(AQ159="2",BI159,0)</f>
        <v>0</v>
      </c>
      <c r="AH159" s="14">
        <f>IF(AQ159="0",BJ159,0)</f>
        <v>0</v>
      </c>
      <c r="AI159" s="43" t="s">
        <v>19</v>
      </c>
      <c r="AJ159" s="14">
        <f>IF(AN159=0,J159,0)</f>
        <v>0</v>
      </c>
      <c r="AK159" s="14">
        <f>IF(AN159=12,J159,0)</f>
        <v>0</v>
      </c>
      <c r="AL159" s="14">
        <f>IF(AN159=21,J159,0)</f>
        <v>0</v>
      </c>
      <c r="AN159" s="14">
        <v>21</v>
      </c>
      <c r="AO159" s="14">
        <f>G159*0.073159788</f>
        <v>0</v>
      </c>
      <c r="AP159" s="14">
        <f>G159*(1-0.073159788)</f>
        <v>0</v>
      </c>
      <c r="AQ159" s="13" t="s">
        <v>205</v>
      </c>
      <c r="AV159" s="14">
        <f>AW159+AX159</f>
        <v>0</v>
      </c>
      <c r="AW159" s="14">
        <f>F159*AO159</f>
        <v>0</v>
      </c>
      <c r="AX159" s="14">
        <f>F159*AP159</f>
        <v>0</v>
      </c>
      <c r="AY159" s="13" t="s">
        <v>502</v>
      </c>
      <c r="AZ159" s="13" t="s">
        <v>503</v>
      </c>
      <c r="BA159" s="43" t="s">
        <v>182</v>
      </c>
      <c r="BC159" s="14">
        <f>AW159+AX159</f>
        <v>0</v>
      </c>
      <c r="BD159" s="14">
        <f>G159/(100-BE159)*100</f>
        <v>0</v>
      </c>
      <c r="BE159" s="14">
        <v>0</v>
      </c>
      <c r="BF159" s="14">
        <f>159</f>
        <v>159</v>
      </c>
      <c r="BH159" s="14">
        <f>F159*AO159</f>
        <v>0</v>
      </c>
      <c r="BI159" s="14">
        <f>F159*AP159</f>
        <v>0</v>
      </c>
      <c r="BJ159" s="14">
        <f>F159*G159</f>
        <v>0</v>
      </c>
      <c r="BK159" s="14"/>
      <c r="BL159" s="14">
        <v>771</v>
      </c>
      <c r="BW159" s="14">
        <v>21</v>
      </c>
      <c r="BX159" s="4" t="s">
        <v>529</v>
      </c>
    </row>
    <row r="160" spans="1:76" ht="14.5" x14ac:dyDescent="0.35">
      <c r="A160" s="1" t="s">
        <v>530</v>
      </c>
      <c r="B160" s="2" t="s">
        <v>531</v>
      </c>
      <c r="C160" s="81" t="s">
        <v>532</v>
      </c>
      <c r="D160" s="75"/>
      <c r="E160" s="2" t="s">
        <v>215</v>
      </c>
      <c r="F160" s="14">
        <v>253.8</v>
      </c>
      <c r="G160" s="55">
        <v>0</v>
      </c>
      <c r="H160" s="14">
        <f>F160*AO160</f>
        <v>0</v>
      </c>
      <c r="I160" s="14">
        <f>F160*AP160</f>
        <v>0</v>
      </c>
      <c r="J160" s="56">
        <f>F160*G160</f>
        <v>0</v>
      </c>
      <c r="Z160" s="14">
        <f>IF(AQ160="5",BJ160,0)</f>
        <v>0</v>
      </c>
      <c r="AB160" s="14">
        <f>IF(AQ160="1",BH160,0)</f>
        <v>0</v>
      </c>
      <c r="AC160" s="14">
        <f>IF(AQ160="1",BI160,0)</f>
        <v>0</v>
      </c>
      <c r="AD160" s="14">
        <f>IF(AQ160="7",BH160,0)</f>
        <v>0</v>
      </c>
      <c r="AE160" s="14">
        <f>IF(AQ160="7",BI160,0)</f>
        <v>0</v>
      </c>
      <c r="AF160" s="14">
        <f>IF(AQ160="2",BH160,0)</f>
        <v>0</v>
      </c>
      <c r="AG160" s="14">
        <f>IF(AQ160="2",BI160,0)</f>
        <v>0</v>
      </c>
      <c r="AH160" s="14">
        <f>IF(AQ160="0",BJ160,0)</f>
        <v>0</v>
      </c>
      <c r="AI160" s="43" t="s">
        <v>19</v>
      </c>
      <c r="AJ160" s="14">
        <f>IF(AN160=0,J160,0)</f>
        <v>0</v>
      </c>
      <c r="AK160" s="14">
        <f>IF(AN160=12,J160,0)</f>
        <v>0</v>
      </c>
      <c r="AL160" s="14">
        <f>IF(AN160=21,J160,0)</f>
        <v>0</v>
      </c>
      <c r="AN160" s="14">
        <v>21</v>
      </c>
      <c r="AO160" s="14">
        <f>G160*1</f>
        <v>0</v>
      </c>
      <c r="AP160" s="14">
        <f>G160*(1-1)</f>
        <v>0</v>
      </c>
      <c r="AQ160" s="13" t="s">
        <v>205</v>
      </c>
      <c r="AV160" s="14">
        <f>AW160+AX160</f>
        <v>0</v>
      </c>
      <c r="AW160" s="14">
        <f>F160*AO160</f>
        <v>0</v>
      </c>
      <c r="AX160" s="14">
        <f>F160*AP160</f>
        <v>0</v>
      </c>
      <c r="AY160" s="13" t="s">
        <v>502</v>
      </c>
      <c r="AZ160" s="13" t="s">
        <v>503</v>
      </c>
      <c r="BA160" s="43" t="s">
        <v>182</v>
      </c>
      <c r="BC160" s="14">
        <f>AW160+AX160</f>
        <v>0</v>
      </c>
      <c r="BD160" s="14">
        <f>G160/(100-BE160)*100</f>
        <v>0</v>
      </c>
      <c r="BE160" s="14">
        <v>0</v>
      </c>
      <c r="BF160" s="14">
        <f>160</f>
        <v>160</v>
      </c>
      <c r="BH160" s="14">
        <f>F160*AO160</f>
        <v>0</v>
      </c>
      <c r="BI160" s="14">
        <f>F160*AP160</f>
        <v>0</v>
      </c>
      <c r="BJ160" s="14">
        <f>F160*G160</f>
        <v>0</v>
      </c>
      <c r="BK160" s="14"/>
      <c r="BL160" s="14">
        <v>771</v>
      </c>
      <c r="BW160" s="14">
        <v>21</v>
      </c>
      <c r="BX160" s="4" t="s">
        <v>532</v>
      </c>
    </row>
    <row r="161" spans="1:76" ht="14.5" x14ac:dyDescent="0.35">
      <c r="A161" s="57"/>
      <c r="B161" s="58" t="s">
        <v>190</v>
      </c>
      <c r="C161" s="154" t="s">
        <v>533</v>
      </c>
      <c r="D161" s="155"/>
      <c r="E161" s="155"/>
      <c r="F161" s="155"/>
      <c r="G161" s="156"/>
      <c r="H161" s="155"/>
      <c r="I161" s="155"/>
      <c r="J161" s="157"/>
      <c r="BX161" s="59" t="s">
        <v>533</v>
      </c>
    </row>
    <row r="162" spans="1:76" ht="14.5" x14ac:dyDescent="0.35">
      <c r="A162" s="60" t="s">
        <v>19</v>
      </c>
      <c r="B162" s="61" t="s">
        <v>53</v>
      </c>
      <c r="C162" s="165" t="s">
        <v>54</v>
      </c>
      <c r="D162" s="166"/>
      <c r="E162" s="62" t="s">
        <v>3</v>
      </c>
      <c r="F162" s="62" t="s">
        <v>3</v>
      </c>
      <c r="G162" s="69" t="s">
        <v>3</v>
      </c>
      <c r="H162" s="38">
        <f>SUM(H163:H163)</f>
        <v>0</v>
      </c>
      <c r="I162" s="38">
        <f>SUM(I163:I163)</f>
        <v>0</v>
      </c>
      <c r="J162" s="64">
        <f>SUM(J163:J163)</f>
        <v>0</v>
      </c>
      <c r="AI162" s="43" t="s">
        <v>19</v>
      </c>
      <c r="AS162" s="38">
        <f>SUM(AJ163:AJ163)</f>
        <v>0</v>
      </c>
      <c r="AT162" s="38">
        <f>SUM(AK163:AK163)</f>
        <v>0</v>
      </c>
      <c r="AU162" s="38">
        <f>SUM(AL163:AL163)</f>
        <v>0</v>
      </c>
    </row>
    <row r="163" spans="1:76" ht="14.5" x14ac:dyDescent="0.35">
      <c r="A163" s="1" t="s">
        <v>534</v>
      </c>
      <c r="B163" s="2" t="s">
        <v>535</v>
      </c>
      <c r="C163" s="81" t="s">
        <v>791</v>
      </c>
      <c r="D163" s="75"/>
      <c r="E163" s="2" t="s">
        <v>203</v>
      </c>
      <c r="F163" s="14">
        <v>21.42</v>
      </c>
      <c r="G163" s="55">
        <v>0</v>
      </c>
      <c r="H163" s="14">
        <f>F163*AO163</f>
        <v>0</v>
      </c>
      <c r="I163" s="14">
        <f>F163*AP163</f>
        <v>0</v>
      </c>
      <c r="J163" s="56">
        <f>F163*G163</f>
        <v>0</v>
      </c>
      <c r="Z163" s="14">
        <f>IF(AQ163="5",BJ163,0)</f>
        <v>0</v>
      </c>
      <c r="AB163" s="14">
        <f>IF(AQ163="1",BH163,0)</f>
        <v>0</v>
      </c>
      <c r="AC163" s="14">
        <f>IF(AQ163="1",BI163,0)</f>
        <v>0</v>
      </c>
      <c r="AD163" s="14">
        <f>IF(AQ163="7",BH163,0)</f>
        <v>0</v>
      </c>
      <c r="AE163" s="14">
        <f>IF(AQ163="7",BI163,0)</f>
        <v>0</v>
      </c>
      <c r="AF163" s="14">
        <f>IF(AQ163="2",BH163,0)</f>
        <v>0</v>
      </c>
      <c r="AG163" s="14">
        <f>IF(AQ163="2",BI163,0)</f>
        <v>0</v>
      </c>
      <c r="AH163" s="14">
        <f>IF(AQ163="0",BJ163,0)</f>
        <v>0</v>
      </c>
      <c r="AI163" s="43" t="s">
        <v>19</v>
      </c>
      <c r="AJ163" s="14">
        <f>IF(AN163=0,J163,0)</f>
        <v>0</v>
      </c>
      <c r="AK163" s="14">
        <f>IF(AN163=12,J163,0)</f>
        <v>0</v>
      </c>
      <c r="AL163" s="14">
        <f>IF(AN163=21,J163,0)</f>
        <v>0</v>
      </c>
      <c r="AN163" s="14">
        <v>21</v>
      </c>
      <c r="AO163" s="14">
        <f>G163*0.350188679</f>
        <v>0</v>
      </c>
      <c r="AP163" s="14">
        <f>G163*(1-0.350188679)</f>
        <v>0</v>
      </c>
      <c r="AQ163" s="13" t="s">
        <v>205</v>
      </c>
      <c r="AV163" s="14">
        <f>AW163+AX163</f>
        <v>0</v>
      </c>
      <c r="AW163" s="14">
        <f>F163*AO163</f>
        <v>0</v>
      </c>
      <c r="AX163" s="14">
        <f>F163*AP163</f>
        <v>0</v>
      </c>
      <c r="AY163" s="13" t="s">
        <v>537</v>
      </c>
      <c r="AZ163" s="13" t="s">
        <v>503</v>
      </c>
      <c r="BA163" s="43" t="s">
        <v>182</v>
      </c>
      <c r="BC163" s="14">
        <f>AW163+AX163</f>
        <v>0</v>
      </c>
      <c r="BD163" s="14">
        <f>G163/(100-BE163)*100</f>
        <v>0</v>
      </c>
      <c r="BE163" s="14">
        <v>0</v>
      </c>
      <c r="BF163" s="14">
        <f>163</f>
        <v>163</v>
      </c>
      <c r="BH163" s="14">
        <f>F163*AO163</f>
        <v>0</v>
      </c>
      <c r="BI163" s="14">
        <f>F163*AP163</f>
        <v>0</v>
      </c>
      <c r="BJ163" s="14">
        <f>F163*G163</f>
        <v>0</v>
      </c>
      <c r="BK163" s="14"/>
      <c r="BL163" s="14">
        <v>777</v>
      </c>
      <c r="BW163" s="14">
        <v>21</v>
      </c>
      <c r="BX163" s="4" t="s">
        <v>536</v>
      </c>
    </row>
    <row r="164" spans="1:76" ht="14.5" x14ac:dyDescent="0.35">
      <c r="A164" s="57"/>
      <c r="B164" s="58" t="s">
        <v>190</v>
      </c>
      <c r="C164" s="154" t="s">
        <v>538</v>
      </c>
      <c r="D164" s="155"/>
      <c r="E164" s="155"/>
      <c r="F164" s="155"/>
      <c r="G164" s="156"/>
      <c r="H164" s="155"/>
      <c r="I164" s="155"/>
      <c r="J164" s="157"/>
      <c r="BX164" s="59" t="s">
        <v>538</v>
      </c>
    </row>
    <row r="165" spans="1:76" ht="14.5" x14ac:dyDescent="0.35">
      <c r="A165" s="60" t="s">
        <v>19</v>
      </c>
      <c r="B165" s="61" t="s">
        <v>55</v>
      </c>
      <c r="C165" s="165" t="s">
        <v>56</v>
      </c>
      <c r="D165" s="166"/>
      <c r="E165" s="62" t="s">
        <v>3</v>
      </c>
      <c r="F165" s="62" t="s">
        <v>3</v>
      </c>
      <c r="G165" s="69" t="s">
        <v>3</v>
      </c>
      <c r="H165" s="38">
        <f>SUM(H166:H178)</f>
        <v>0</v>
      </c>
      <c r="I165" s="38">
        <f>SUM(I166:I178)</f>
        <v>0</v>
      </c>
      <c r="J165" s="64">
        <f>SUM(J166:J178)</f>
        <v>0</v>
      </c>
      <c r="AI165" s="43" t="s">
        <v>19</v>
      </c>
      <c r="AS165" s="38">
        <f>SUM(AJ166:AJ178)</f>
        <v>0</v>
      </c>
      <c r="AT165" s="38">
        <f>SUM(AK166:AK178)</f>
        <v>0</v>
      </c>
      <c r="AU165" s="38">
        <f>SUM(AL166:AL178)</f>
        <v>0</v>
      </c>
    </row>
    <row r="166" spans="1:76" ht="14.5" x14ac:dyDescent="0.35">
      <c r="A166" s="1" t="s">
        <v>539</v>
      </c>
      <c r="B166" s="2" t="s">
        <v>540</v>
      </c>
      <c r="C166" s="81" t="s">
        <v>541</v>
      </c>
      <c r="D166" s="75"/>
      <c r="E166" s="2" t="s">
        <v>203</v>
      </c>
      <c r="F166" s="14">
        <v>34.6875</v>
      </c>
      <c r="G166" s="55">
        <v>0</v>
      </c>
      <c r="H166" s="14">
        <f>F166*AO166</f>
        <v>0</v>
      </c>
      <c r="I166" s="14">
        <f>F166*AP166</f>
        <v>0</v>
      </c>
      <c r="J166" s="56">
        <f>F166*G166</f>
        <v>0</v>
      </c>
      <c r="Z166" s="14">
        <f>IF(AQ166="5",BJ166,0)</f>
        <v>0</v>
      </c>
      <c r="AB166" s="14">
        <f>IF(AQ166="1",BH166,0)</f>
        <v>0</v>
      </c>
      <c r="AC166" s="14">
        <f>IF(AQ166="1",BI166,0)</f>
        <v>0</v>
      </c>
      <c r="AD166" s="14">
        <f>IF(AQ166="7",BH166,0)</f>
        <v>0</v>
      </c>
      <c r="AE166" s="14">
        <f>IF(AQ166="7",BI166,0)</f>
        <v>0</v>
      </c>
      <c r="AF166" s="14">
        <f>IF(AQ166="2",BH166,0)</f>
        <v>0</v>
      </c>
      <c r="AG166" s="14">
        <f>IF(AQ166="2",BI166,0)</f>
        <v>0</v>
      </c>
      <c r="AH166" s="14">
        <f>IF(AQ166="0",BJ166,0)</f>
        <v>0</v>
      </c>
      <c r="AI166" s="43" t="s">
        <v>19</v>
      </c>
      <c r="AJ166" s="14">
        <f>IF(AN166=0,J166,0)</f>
        <v>0</v>
      </c>
      <c r="AK166" s="14">
        <f>IF(AN166=12,J166,0)</f>
        <v>0</v>
      </c>
      <c r="AL166" s="14">
        <f>IF(AN166=21,J166,0)</f>
        <v>0</v>
      </c>
      <c r="AN166" s="14">
        <v>21</v>
      </c>
      <c r="AO166" s="14">
        <f>G166*0.211355932</f>
        <v>0</v>
      </c>
      <c r="AP166" s="14">
        <f>G166*(1-0.211355932)</f>
        <v>0</v>
      </c>
      <c r="AQ166" s="13" t="s">
        <v>205</v>
      </c>
      <c r="AV166" s="14">
        <f>AW166+AX166</f>
        <v>0</v>
      </c>
      <c r="AW166" s="14">
        <f>F166*AO166</f>
        <v>0</v>
      </c>
      <c r="AX166" s="14">
        <f>F166*AP166</f>
        <v>0</v>
      </c>
      <c r="AY166" s="13" t="s">
        <v>542</v>
      </c>
      <c r="AZ166" s="13" t="s">
        <v>543</v>
      </c>
      <c r="BA166" s="43" t="s">
        <v>182</v>
      </c>
      <c r="BC166" s="14">
        <f>AW166+AX166</f>
        <v>0</v>
      </c>
      <c r="BD166" s="14">
        <f>G166/(100-BE166)*100</f>
        <v>0</v>
      </c>
      <c r="BE166" s="14">
        <v>0</v>
      </c>
      <c r="BF166" s="14">
        <f>166</f>
        <v>166</v>
      </c>
      <c r="BH166" s="14">
        <f>F166*AO166</f>
        <v>0</v>
      </c>
      <c r="BI166" s="14">
        <f>F166*AP166</f>
        <v>0</v>
      </c>
      <c r="BJ166" s="14">
        <f>F166*G166</f>
        <v>0</v>
      </c>
      <c r="BK166" s="14"/>
      <c r="BL166" s="14">
        <v>781</v>
      </c>
      <c r="BW166" s="14">
        <v>21</v>
      </c>
      <c r="BX166" s="4" t="s">
        <v>541</v>
      </c>
    </row>
    <row r="167" spans="1:76" ht="14.5" x14ac:dyDescent="0.35">
      <c r="A167" s="57"/>
      <c r="B167" s="58" t="s">
        <v>190</v>
      </c>
      <c r="C167" s="154" t="s">
        <v>544</v>
      </c>
      <c r="D167" s="155"/>
      <c r="E167" s="155"/>
      <c r="F167" s="155"/>
      <c r="G167" s="156"/>
      <c r="H167" s="155"/>
      <c r="I167" s="155"/>
      <c r="J167" s="157"/>
      <c r="BX167" s="59" t="s">
        <v>544</v>
      </c>
    </row>
    <row r="168" spans="1:76" ht="14.5" x14ac:dyDescent="0.35">
      <c r="A168" s="1" t="s">
        <v>545</v>
      </c>
      <c r="B168" s="2" t="s">
        <v>546</v>
      </c>
      <c r="C168" s="81" t="s">
        <v>547</v>
      </c>
      <c r="D168" s="75"/>
      <c r="E168" s="2" t="s">
        <v>203</v>
      </c>
      <c r="F168" s="14">
        <v>39.881999999999998</v>
      </c>
      <c r="G168" s="55">
        <v>0</v>
      </c>
      <c r="H168" s="14">
        <f>F168*AO168</f>
        <v>0</v>
      </c>
      <c r="I168" s="14">
        <f>F168*AP168</f>
        <v>0</v>
      </c>
      <c r="J168" s="56">
        <f>F168*G168</f>
        <v>0</v>
      </c>
      <c r="Z168" s="14">
        <f>IF(AQ168="5",BJ168,0)</f>
        <v>0</v>
      </c>
      <c r="AB168" s="14">
        <f>IF(AQ168="1",BH168,0)</f>
        <v>0</v>
      </c>
      <c r="AC168" s="14">
        <f>IF(AQ168="1",BI168,0)</f>
        <v>0</v>
      </c>
      <c r="AD168" s="14">
        <f>IF(AQ168="7",BH168,0)</f>
        <v>0</v>
      </c>
      <c r="AE168" s="14">
        <f>IF(AQ168="7",BI168,0)</f>
        <v>0</v>
      </c>
      <c r="AF168" s="14">
        <f>IF(AQ168="2",BH168,0)</f>
        <v>0</v>
      </c>
      <c r="AG168" s="14">
        <f>IF(AQ168="2",BI168,0)</f>
        <v>0</v>
      </c>
      <c r="AH168" s="14">
        <f>IF(AQ168="0",BJ168,0)</f>
        <v>0</v>
      </c>
      <c r="AI168" s="43" t="s">
        <v>19</v>
      </c>
      <c r="AJ168" s="14">
        <f>IF(AN168=0,J168,0)</f>
        <v>0</v>
      </c>
      <c r="AK168" s="14">
        <f>IF(AN168=12,J168,0)</f>
        <v>0</v>
      </c>
      <c r="AL168" s="14">
        <f>IF(AN168=21,J168,0)</f>
        <v>0</v>
      </c>
      <c r="AN168" s="14">
        <v>21</v>
      </c>
      <c r="AO168" s="14">
        <f>G168*1</f>
        <v>0</v>
      </c>
      <c r="AP168" s="14">
        <f>G168*(1-1)</f>
        <v>0</v>
      </c>
      <c r="AQ168" s="13" t="s">
        <v>205</v>
      </c>
      <c r="AV168" s="14">
        <f>AW168+AX168</f>
        <v>0</v>
      </c>
      <c r="AW168" s="14">
        <f>F168*AO168</f>
        <v>0</v>
      </c>
      <c r="AX168" s="14">
        <f>F168*AP168</f>
        <v>0</v>
      </c>
      <c r="AY168" s="13" t="s">
        <v>542</v>
      </c>
      <c r="AZ168" s="13" t="s">
        <v>543</v>
      </c>
      <c r="BA168" s="43" t="s">
        <v>182</v>
      </c>
      <c r="BC168" s="14">
        <f>AW168+AX168</f>
        <v>0</v>
      </c>
      <c r="BD168" s="14">
        <f>G168/(100-BE168)*100</f>
        <v>0</v>
      </c>
      <c r="BE168" s="14">
        <v>0</v>
      </c>
      <c r="BF168" s="14">
        <f>168</f>
        <v>168</v>
      </c>
      <c r="BH168" s="14">
        <f>F168*AO168</f>
        <v>0</v>
      </c>
      <c r="BI168" s="14">
        <f>F168*AP168</f>
        <v>0</v>
      </c>
      <c r="BJ168" s="14">
        <f>F168*G168</f>
        <v>0</v>
      </c>
      <c r="BK168" s="14"/>
      <c r="BL168" s="14">
        <v>781</v>
      </c>
      <c r="BW168" s="14">
        <v>21</v>
      </c>
      <c r="BX168" s="4" t="s">
        <v>547</v>
      </c>
    </row>
    <row r="169" spans="1:76" ht="27" customHeight="1" x14ac:dyDescent="0.35">
      <c r="A169" s="1" t="s">
        <v>548</v>
      </c>
      <c r="B169" s="2" t="s">
        <v>549</v>
      </c>
      <c r="C169" s="81" t="s">
        <v>550</v>
      </c>
      <c r="D169" s="75"/>
      <c r="E169" s="2" t="s">
        <v>203</v>
      </c>
      <c r="F169" s="14">
        <v>71.17</v>
      </c>
      <c r="G169" s="55">
        <v>0</v>
      </c>
      <c r="H169" s="14">
        <f>F169*AO169</f>
        <v>0</v>
      </c>
      <c r="I169" s="14">
        <f>F169*AP169</f>
        <v>0</v>
      </c>
      <c r="J169" s="56">
        <f>F169*G169</f>
        <v>0</v>
      </c>
      <c r="Z169" s="14">
        <f>IF(AQ169="5",BJ169,0)</f>
        <v>0</v>
      </c>
      <c r="AB169" s="14">
        <f>IF(AQ169="1",BH169,0)</f>
        <v>0</v>
      </c>
      <c r="AC169" s="14">
        <f>IF(AQ169="1",BI169,0)</f>
        <v>0</v>
      </c>
      <c r="AD169" s="14">
        <f>IF(AQ169="7",BH169,0)</f>
        <v>0</v>
      </c>
      <c r="AE169" s="14">
        <f>IF(AQ169="7",BI169,0)</f>
        <v>0</v>
      </c>
      <c r="AF169" s="14">
        <f>IF(AQ169="2",BH169,0)</f>
        <v>0</v>
      </c>
      <c r="AG169" s="14">
        <f>IF(AQ169="2",BI169,0)</f>
        <v>0</v>
      </c>
      <c r="AH169" s="14">
        <f>IF(AQ169="0",BJ169,0)</f>
        <v>0</v>
      </c>
      <c r="AI169" s="43" t="s">
        <v>19</v>
      </c>
      <c r="AJ169" s="14">
        <f>IF(AN169=0,J169,0)</f>
        <v>0</v>
      </c>
      <c r="AK169" s="14">
        <f>IF(AN169=12,J169,0)</f>
        <v>0</v>
      </c>
      <c r="AL169" s="14">
        <f>IF(AN169=21,J169,0)</f>
        <v>0</v>
      </c>
      <c r="AN169" s="14">
        <v>21</v>
      </c>
      <c r="AO169" s="14">
        <f>G169*0</f>
        <v>0</v>
      </c>
      <c r="AP169" s="14">
        <f>G169*(1-0)</f>
        <v>0</v>
      </c>
      <c r="AQ169" s="13" t="s">
        <v>205</v>
      </c>
      <c r="AV169" s="14">
        <f>AW169+AX169</f>
        <v>0</v>
      </c>
      <c r="AW169" s="14">
        <f>F169*AO169</f>
        <v>0</v>
      </c>
      <c r="AX169" s="14">
        <f>F169*AP169</f>
        <v>0</v>
      </c>
      <c r="AY169" s="13" t="s">
        <v>542</v>
      </c>
      <c r="AZ169" s="13" t="s">
        <v>543</v>
      </c>
      <c r="BA169" s="43" t="s">
        <v>182</v>
      </c>
      <c r="BC169" s="14">
        <f>AW169+AX169</f>
        <v>0</v>
      </c>
      <c r="BD169" s="14">
        <f>G169/(100-BE169)*100</f>
        <v>0</v>
      </c>
      <c r="BE169" s="14">
        <v>0</v>
      </c>
      <c r="BF169" s="14">
        <f>169</f>
        <v>169</v>
      </c>
      <c r="BH169" s="14">
        <f>F169*AO169</f>
        <v>0</v>
      </c>
      <c r="BI169" s="14">
        <f>F169*AP169</f>
        <v>0</v>
      </c>
      <c r="BJ169" s="14">
        <f>F169*G169</f>
        <v>0</v>
      </c>
      <c r="BK169" s="14"/>
      <c r="BL169" s="14">
        <v>781</v>
      </c>
      <c r="BW169" s="14">
        <v>21</v>
      </c>
      <c r="BX169" s="4" t="s">
        <v>550</v>
      </c>
    </row>
    <row r="170" spans="1:76" ht="14.5" x14ac:dyDescent="0.35">
      <c r="A170" s="57"/>
      <c r="B170" s="58" t="s">
        <v>190</v>
      </c>
      <c r="C170" s="154" t="s">
        <v>551</v>
      </c>
      <c r="D170" s="155"/>
      <c r="E170" s="155"/>
      <c r="F170" s="155"/>
      <c r="G170" s="156"/>
      <c r="H170" s="155"/>
      <c r="I170" s="155"/>
      <c r="J170" s="157"/>
      <c r="BX170" s="59" t="s">
        <v>551</v>
      </c>
    </row>
    <row r="171" spans="1:76" ht="14.5" x14ac:dyDescent="0.35">
      <c r="A171" s="1" t="s">
        <v>552</v>
      </c>
      <c r="B171" s="2" t="s">
        <v>553</v>
      </c>
      <c r="C171" s="81" t="s">
        <v>554</v>
      </c>
      <c r="D171" s="75"/>
      <c r="E171" s="2" t="s">
        <v>203</v>
      </c>
      <c r="F171" s="14">
        <v>5.89</v>
      </c>
      <c r="G171" s="55">
        <v>0</v>
      </c>
      <c r="H171" s="14">
        <f>F171*AO171</f>
        <v>0</v>
      </c>
      <c r="I171" s="14">
        <f>F171*AP171</f>
        <v>0</v>
      </c>
      <c r="J171" s="56">
        <f>F171*G171</f>
        <v>0</v>
      </c>
      <c r="Z171" s="14">
        <f>IF(AQ171="5",BJ171,0)</f>
        <v>0</v>
      </c>
      <c r="AB171" s="14">
        <f>IF(AQ171="1",BH171,0)</f>
        <v>0</v>
      </c>
      <c r="AC171" s="14">
        <f>IF(AQ171="1",BI171,0)</f>
        <v>0</v>
      </c>
      <c r="AD171" s="14">
        <f>IF(AQ171="7",BH171,0)</f>
        <v>0</v>
      </c>
      <c r="AE171" s="14">
        <f>IF(AQ171="7",BI171,0)</f>
        <v>0</v>
      </c>
      <c r="AF171" s="14">
        <f>IF(AQ171="2",BH171,0)</f>
        <v>0</v>
      </c>
      <c r="AG171" s="14">
        <f>IF(AQ171="2",BI171,0)</f>
        <v>0</v>
      </c>
      <c r="AH171" s="14">
        <f>IF(AQ171="0",BJ171,0)</f>
        <v>0</v>
      </c>
      <c r="AI171" s="43" t="s">
        <v>19</v>
      </c>
      <c r="AJ171" s="14">
        <f>IF(AN171=0,J171,0)</f>
        <v>0</v>
      </c>
      <c r="AK171" s="14">
        <f>IF(AN171=12,J171,0)</f>
        <v>0</v>
      </c>
      <c r="AL171" s="14">
        <f>IF(AN171=21,J171,0)</f>
        <v>0</v>
      </c>
      <c r="AN171" s="14">
        <v>21</v>
      </c>
      <c r="AO171" s="14">
        <f>G171*0.150333173</f>
        <v>0</v>
      </c>
      <c r="AP171" s="14">
        <f>G171*(1-0.150333173)</f>
        <v>0</v>
      </c>
      <c r="AQ171" s="13" t="s">
        <v>205</v>
      </c>
      <c r="AV171" s="14">
        <f>AW171+AX171</f>
        <v>0</v>
      </c>
      <c r="AW171" s="14">
        <f>F171*AO171</f>
        <v>0</v>
      </c>
      <c r="AX171" s="14">
        <f>F171*AP171</f>
        <v>0</v>
      </c>
      <c r="AY171" s="13" t="s">
        <v>542</v>
      </c>
      <c r="AZ171" s="13" t="s">
        <v>543</v>
      </c>
      <c r="BA171" s="43" t="s">
        <v>182</v>
      </c>
      <c r="BC171" s="14">
        <f>AW171+AX171</f>
        <v>0</v>
      </c>
      <c r="BD171" s="14">
        <f>G171/(100-BE171)*100</f>
        <v>0</v>
      </c>
      <c r="BE171" s="14">
        <v>0</v>
      </c>
      <c r="BF171" s="14">
        <f>171</f>
        <v>171</v>
      </c>
      <c r="BH171" s="14">
        <f>F171*AO171</f>
        <v>0</v>
      </c>
      <c r="BI171" s="14">
        <f>F171*AP171</f>
        <v>0</v>
      </c>
      <c r="BJ171" s="14">
        <f>F171*G171</f>
        <v>0</v>
      </c>
      <c r="BK171" s="14"/>
      <c r="BL171" s="14">
        <v>781</v>
      </c>
      <c r="BW171" s="14">
        <v>21</v>
      </c>
      <c r="BX171" s="4" t="s">
        <v>554</v>
      </c>
    </row>
    <row r="172" spans="1:76" ht="14.5" x14ac:dyDescent="0.35">
      <c r="A172" s="1" t="s">
        <v>555</v>
      </c>
      <c r="B172" s="2" t="s">
        <v>556</v>
      </c>
      <c r="C172" s="81" t="s">
        <v>557</v>
      </c>
      <c r="D172" s="75"/>
      <c r="E172" s="2" t="s">
        <v>203</v>
      </c>
      <c r="F172" s="14">
        <v>6.3612000000000002</v>
      </c>
      <c r="G172" s="55">
        <v>0</v>
      </c>
      <c r="H172" s="14">
        <f>F172*AO172</f>
        <v>0</v>
      </c>
      <c r="I172" s="14">
        <f>F172*AP172</f>
        <v>0</v>
      </c>
      <c r="J172" s="56">
        <f>F172*G172</f>
        <v>0</v>
      </c>
      <c r="Z172" s="14">
        <f>IF(AQ172="5",BJ172,0)</f>
        <v>0</v>
      </c>
      <c r="AB172" s="14">
        <f>IF(AQ172="1",BH172,0)</f>
        <v>0</v>
      </c>
      <c r="AC172" s="14">
        <f>IF(AQ172="1",BI172,0)</f>
        <v>0</v>
      </c>
      <c r="AD172" s="14">
        <f>IF(AQ172="7",BH172,0)</f>
        <v>0</v>
      </c>
      <c r="AE172" s="14">
        <f>IF(AQ172="7",BI172,0)</f>
        <v>0</v>
      </c>
      <c r="AF172" s="14">
        <f>IF(AQ172="2",BH172,0)</f>
        <v>0</v>
      </c>
      <c r="AG172" s="14">
        <f>IF(AQ172="2",BI172,0)</f>
        <v>0</v>
      </c>
      <c r="AH172" s="14">
        <f>IF(AQ172="0",BJ172,0)</f>
        <v>0</v>
      </c>
      <c r="AI172" s="43" t="s">
        <v>19</v>
      </c>
      <c r="AJ172" s="14">
        <f>IF(AN172=0,J172,0)</f>
        <v>0</v>
      </c>
      <c r="AK172" s="14">
        <f>IF(AN172=12,J172,0)</f>
        <v>0</v>
      </c>
      <c r="AL172" s="14">
        <f>IF(AN172=21,J172,0)</f>
        <v>0</v>
      </c>
      <c r="AN172" s="14">
        <v>21</v>
      </c>
      <c r="AO172" s="14">
        <f>G172*1</f>
        <v>0</v>
      </c>
      <c r="AP172" s="14">
        <f>G172*(1-1)</f>
        <v>0</v>
      </c>
      <c r="AQ172" s="13" t="s">
        <v>205</v>
      </c>
      <c r="AV172" s="14">
        <f>AW172+AX172</f>
        <v>0</v>
      </c>
      <c r="AW172" s="14">
        <f>F172*AO172</f>
        <v>0</v>
      </c>
      <c r="AX172" s="14">
        <f>F172*AP172</f>
        <v>0</v>
      </c>
      <c r="AY172" s="13" t="s">
        <v>542</v>
      </c>
      <c r="AZ172" s="13" t="s">
        <v>543</v>
      </c>
      <c r="BA172" s="43" t="s">
        <v>182</v>
      </c>
      <c r="BC172" s="14">
        <f>AW172+AX172</f>
        <v>0</v>
      </c>
      <c r="BD172" s="14">
        <f>G172/(100-BE172)*100</f>
        <v>0</v>
      </c>
      <c r="BE172" s="14">
        <v>0</v>
      </c>
      <c r="BF172" s="14">
        <f>172</f>
        <v>172</v>
      </c>
      <c r="BH172" s="14">
        <f>F172*AO172</f>
        <v>0</v>
      </c>
      <c r="BI172" s="14">
        <f>F172*AP172</f>
        <v>0</v>
      </c>
      <c r="BJ172" s="14">
        <f>F172*G172</f>
        <v>0</v>
      </c>
      <c r="BK172" s="14"/>
      <c r="BL172" s="14">
        <v>781</v>
      </c>
      <c r="BW172" s="14">
        <v>21</v>
      </c>
      <c r="BX172" s="4" t="s">
        <v>557</v>
      </c>
    </row>
    <row r="173" spans="1:76" ht="14.5" x14ac:dyDescent="0.35">
      <c r="A173" s="57"/>
      <c r="B173" s="58" t="s">
        <v>190</v>
      </c>
      <c r="C173" s="154" t="s">
        <v>558</v>
      </c>
      <c r="D173" s="155"/>
      <c r="E173" s="155"/>
      <c r="F173" s="155"/>
      <c r="G173" s="156"/>
      <c r="H173" s="155"/>
      <c r="I173" s="155"/>
      <c r="J173" s="157"/>
      <c r="BX173" s="59" t="s">
        <v>558</v>
      </c>
    </row>
    <row r="174" spans="1:76" ht="14.5" x14ac:dyDescent="0.35">
      <c r="A174" s="1" t="s">
        <v>559</v>
      </c>
      <c r="B174" s="2" t="s">
        <v>560</v>
      </c>
      <c r="C174" s="81" t="s">
        <v>561</v>
      </c>
      <c r="D174" s="75"/>
      <c r="E174" s="2" t="s">
        <v>203</v>
      </c>
      <c r="F174" s="14">
        <v>17</v>
      </c>
      <c r="G174" s="55">
        <v>0</v>
      </c>
      <c r="H174" s="14">
        <f>F174*AO174</f>
        <v>0</v>
      </c>
      <c r="I174" s="14">
        <f>F174*AP174</f>
        <v>0</v>
      </c>
      <c r="J174" s="56">
        <f>F174*G174</f>
        <v>0</v>
      </c>
      <c r="Z174" s="14">
        <f>IF(AQ174="5",BJ174,0)</f>
        <v>0</v>
      </c>
      <c r="AB174" s="14">
        <f>IF(AQ174="1",BH174,0)</f>
        <v>0</v>
      </c>
      <c r="AC174" s="14">
        <f>IF(AQ174="1",BI174,0)</f>
        <v>0</v>
      </c>
      <c r="AD174" s="14">
        <f>IF(AQ174="7",BH174,0)</f>
        <v>0</v>
      </c>
      <c r="AE174" s="14">
        <f>IF(AQ174="7",BI174,0)</f>
        <v>0</v>
      </c>
      <c r="AF174" s="14">
        <f>IF(AQ174="2",BH174,0)</f>
        <v>0</v>
      </c>
      <c r="AG174" s="14">
        <f>IF(AQ174="2",BI174,0)</f>
        <v>0</v>
      </c>
      <c r="AH174" s="14">
        <f>IF(AQ174="0",BJ174,0)</f>
        <v>0</v>
      </c>
      <c r="AI174" s="43" t="s">
        <v>19</v>
      </c>
      <c r="AJ174" s="14">
        <f>IF(AN174=0,J174,0)</f>
        <v>0</v>
      </c>
      <c r="AK174" s="14">
        <f>IF(AN174=12,J174,0)</f>
        <v>0</v>
      </c>
      <c r="AL174" s="14">
        <f>IF(AN174=21,J174,0)</f>
        <v>0</v>
      </c>
      <c r="AN174" s="14">
        <v>21</v>
      </c>
      <c r="AO174" s="14">
        <f>G174*0.165589744</f>
        <v>0</v>
      </c>
      <c r="AP174" s="14">
        <f>G174*(1-0.165589744)</f>
        <v>0</v>
      </c>
      <c r="AQ174" s="13" t="s">
        <v>205</v>
      </c>
      <c r="AV174" s="14">
        <f>AW174+AX174</f>
        <v>0</v>
      </c>
      <c r="AW174" s="14">
        <f>F174*AO174</f>
        <v>0</v>
      </c>
      <c r="AX174" s="14">
        <f>F174*AP174</f>
        <v>0</v>
      </c>
      <c r="AY174" s="13" t="s">
        <v>542</v>
      </c>
      <c r="AZ174" s="13" t="s">
        <v>543</v>
      </c>
      <c r="BA174" s="43" t="s">
        <v>182</v>
      </c>
      <c r="BC174" s="14">
        <f>AW174+AX174</f>
        <v>0</v>
      </c>
      <c r="BD174" s="14">
        <f>G174/(100-BE174)*100</f>
        <v>0</v>
      </c>
      <c r="BE174" s="14">
        <v>0</v>
      </c>
      <c r="BF174" s="14">
        <f>174</f>
        <v>174</v>
      </c>
      <c r="BH174" s="14">
        <f>F174*AO174</f>
        <v>0</v>
      </c>
      <c r="BI174" s="14">
        <f>F174*AP174</f>
        <v>0</v>
      </c>
      <c r="BJ174" s="14">
        <f>F174*G174</f>
        <v>0</v>
      </c>
      <c r="BK174" s="14"/>
      <c r="BL174" s="14">
        <v>781</v>
      </c>
      <c r="BW174" s="14">
        <v>21</v>
      </c>
      <c r="BX174" s="4" t="s">
        <v>561</v>
      </c>
    </row>
    <row r="175" spans="1:76" ht="14.5" x14ac:dyDescent="0.35">
      <c r="A175" s="1" t="s">
        <v>562</v>
      </c>
      <c r="B175" s="2" t="s">
        <v>563</v>
      </c>
      <c r="C175" s="81" t="s">
        <v>564</v>
      </c>
      <c r="D175" s="75"/>
      <c r="E175" s="2" t="s">
        <v>203</v>
      </c>
      <c r="F175" s="14">
        <v>18.36</v>
      </c>
      <c r="G175" s="55">
        <v>0</v>
      </c>
      <c r="H175" s="14">
        <f>F175*AO175</f>
        <v>0</v>
      </c>
      <c r="I175" s="14">
        <f>F175*AP175</f>
        <v>0</v>
      </c>
      <c r="J175" s="56">
        <f>F175*G175</f>
        <v>0</v>
      </c>
      <c r="Z175" s="14">
        <f>IF(AQ175="5",BJ175,0)</f>
        <v>0</v>
      </c>
      <c r="AB175" s="14">
        <f>IF(AQ175="1",BH175,0)</f>
        <v>0</v>
      </c>
      <c r="AC175" s="14">
        <f>IF(AQ175="1",BI175,0)</f>
        <v>0</v>
      </c>
      <c r="AD175" s="14">
        <f>IF(AQ175="7",BH175,0)</f>
        <v>0</v>
      </c>
      <c r="AE175" s="14">
        <f>IF(AQ175="7",BI175,0)</f>
        <v>0</v>
      </c>
      <c r="AF175" s="14">
        <f>IF(AQ175="2",BH175,0)</f>
        <v>0</v>
      </c>
      <c r="AG175" s="14">
        <f>IF(AQ175="2",BI175,0)</f>
        <v>0</v>
      </c>
      <c r="AH175" s="14">
        <f>IF(AQ175="0",BJ175,0)</f>
        <v>0</v>
      </c>
      <c r="AI175" s="43" t="s">
        <v>19</v>
      </c>
      <c r="AJ175" s="14">
        <f>IF(AN175=0,J175,0)</f>
        <v>0</v>
      </c>
      <c r="AK175" s="14">
        <f>IF(AN175=12,J175,0)</f>
        <v>0</v>
      </c>
      <c r="AL175" s="14">
        <f>IF(AN175=21,J175,0)</f>
        <v>0</v>
      </c>
      <c r="AN175" s="14">
        <v>21</v>
      </c>
      <c r="AO175" s="14">
        <f>G175*1</f>
        <v>0</v>
      </c>
      <c r="AP175" s="14">
        <f>G175*(1-1)</f>
        <v>0</v>
      </c>
      <c r="AQ175" s="13" t="s">
        <v>205</v>
      </c>
      <c r="AV175" s="14">
        <f>AW175+AX175</f>
        <v>0</v>
      </c>
      <c r="AW175" s="14">
        <f>F175*AO175</f>
        <v>0</v>
      </c>
      <c r="AX175" s="14">
        <f>F175*AP175</f>
        <v>0</v>
      </c>
      <c r="AY175" s="13" t="s">
        <v>542</v>
      </c>
      <c r="AZ175" s="13" t="s">
        <v>543</v>
      </c>
      <c r="BA175" s="43" t="s">
        <v>182</v>
      </c>
      <c r="BC175" s="14">
        <f>AW175+AX175</f>
        <v>0</v>
      </c>
      <c r="BD175" s="14">
        <f>G175/(100-BE175)*100</f>
        <v>0</v>
      </c>
      <c r="BE175" s="14">
        <v>0</v>
      </c>
      <c r="BF175" s="14">
        <f>175</f>
        <v>175</v>
      </c>
      <c r="BH175" s="14">
        <f>F175*AO175</f>
        <v>0</v>
      </c>
      <c r="BI175" s="14">
        <f>F175*AP175</f>
        <v>0</v>
      </c>
      <c r="BJ175" s="14">
        <f>F175*G175</f>
        <v>0</v>
      </c>
      <c r="BK175" s="14"/>
      <c r="BL175" s="14">
        <v>781</v>
      </c>
      <c r="BW175" s="14">
        <v>21</v>
      </c>
      <c r="BX175" s="4" t="s">
        <v>564</v>
      </c>
    </row>
    <row r="176" spans="1:76" ht="14.5" x14ac:dyDescent="0.35">
      <c r="A176" s="57"/>
      <c r="B176" s="58" t="s">
        <v>190</v>
      </c>
      <c r="C176" s="154" t="s">
        <v>558</v>
      </c>
      <c r="D176" s="155"/>
      <c r="E176" s="155"/>
      <c r="F176" s="155"/>
      <c r="G176" s="156"/>
      <c r="H176" s="155"/>
      <c r="I176" s="155"/>
      <c r="J176" s="157"/>
      <c r="BX176" s="59" t="s">
        <v>558</v>
      </c>
    </row>
    <row r="177" spans="1:76" ht="14.5" x14ac:dyDescent="0.35">
      <c r="A177" s="1" t="s">
        <v>565</v>
      </c>
      <c r="B177" s="2" t="s">
        <v>540</v>
      </c>
      <c r="C177" s="81" t="s">
        <v>541</v>
      </c>
      <c r="D177" s="75"/>
      <c r="E177" s="2" t="s">
        <v>203</v>
      </c>
      <c r="F177" s="14">
        <v>62.774999999999999</v>
      </c>
      <c r="G177" s="55">
        <v>0</v>
      </c>
      <c r="H177" s="14">
        <f>F177*AO177</f>
        <v>0</v>
      </c>
      <c r="I177" s="14">
        <f>F177*AP177</f>
        <v>0</v>
      </c>
      <c r="J177" s="56">
        <f>F177*G177</f>
        <v>0</v>
      </c>
      <c r="Z177" s="14">
        <f>IF(AQ177="5",BJ177,0)</f>
        <v>0</v>
      </c>
      <c r="AB177" s="14">
        <f>IF(AQ177="1",BH177,0)</f>
        <v>0</v>
      </c>
      <c r="AC177" s="14">
        <f>IF(AQ177="1",BI177,0)</f>
        <v>0</v>
      </c>
      <c r="AD177" s="14">
        <f>IF(AQ177="7",BH177,0)</f>
        <v>0</v>
      </c>
      <c r="AE177" s="14">
        <f>IF(AQ177="7",BI177,0)</f>
        <v>0</v>
      </c>
      <c r="AF177" s="14">
        <f>IF(AQ177="2",BH177,0)</f>
        <v>0</v>
      </c>
      <c r="AG177" s="14">
        <f>IF(AQ177="2",BI177,0)</f>
        <v>0</v>
      </c>
      <c r="AH177" s="14">
        <f>IF(AQ177="0",BJ177,0)</f>
        <v>0</v>
      </c>
      <c r="AI177" s="43" t="s">
        <v>19</v>
      </c>
      <c r="AJ177" s="14">
        <f>IF(AN177=0,J177,0)</f>
        <v>0</v>
      </c>
      <c r="AK177" s="14">
        <f>IF(AN177=12,J177,0)</f>
        <v>0</v>
      </c>
      <c r="AL177" s="14">
        <f>IF(AN177=21,J177,0)</f>
        <v>0</v>
      </c>
      <c r="AN177" s="14">
        <v>21</v>
      </c>
      <c r="AO177" s="14">
        <f>G177*0.211355932</f>
        <v>0</v>
      </c>
      <c r="AP177" s="14">
        <f>G177*(1-0.211355932)</f>
        <v>0</v>
      </c>
      <c r="AQ177" s="13" t="s">
        <v>205</v>
      </c>
      <c r="AV177" s="14">
        <f>AW177+AX177</f>
        <v>0</v>
      </c>
      <c r="AW177" s="14">
        <f>F177*AO177</f>
        <v>0</v>
      </c>
      <c r="AX177" s="14">
        <f>F177*AP177</f>
        <v>0</v>
      </c>
      <c r="AY177" s="13" t="s">
        <v>542</v>
      </c>
      <c r="AZ177" s="13" t="s">
        <v>543</v>
      </c>
      <c r="BA177" s="43" t="s">
        <v>182</v>
      </c>
      <c r="BC177" s="14">
        <f>AW177+AX177</f>
        <v>0</v>
      </c>
      <c r="BD177" s="14">
        <f>G177/(100-BE177)*100</f>
        <v>0</v>
      </c>
      <c r="BE177" s="14">
        <v>0</v>
      </c>
      <c r="BF177" s="14">
        <f>177</f>
        <v>177</v>
      </c>
      <c r="BH177" s="14">
        <f>F177*AO177</f>
        <v>0</v>
      </c>
      <c r="BI177" s="14">
        <f>F177*AP177</f>
        <v>0</v>
      </c>
      <c r="BJ177" s="14">
        <f>F177*G177</f>
        <v>0</v>
      </c>
      <c r="BK177" s="14"/>
      <c r="BL177" s="14">
        <v>781</v>
      </c>
      <c r="BW177" s="14">
        <v>21</v>
      </c>
      <c r="BX177" s="4" t="s">
        <v>541</v>
      </c>
    </row>
    <row r="178" spans="1:76" ht="14.5" x14ac:dyDescent="0.35">
      <c r="A178" s="1" t="s">
        <v>566</v>
      </c>
      <c r="B178" s="2" t="s">
        <v>567</v>
      </c>
      <c r="C178" s="81" t="s">
        <v>568</v>
      </c>
      <c r="D178" s="75"/>
      <c r="E178" s="2" t="s">
        <v>203</v>
      </c>
      <c r="F178" s="14">
        <v>67.796999999999997</v>
      </c>
      <c r="G178" s="55">
        <v>0</v>
      </c>
      <c r="H178" s="14">
        <f>F178*AO178</f>
        <v>0</v>
      </c>
      <c r="I178" s="14">
        <f>F178*AP178</f>
        <v>0</v>
      </c>
      <c r="J178" s="56">
        <f>F178*G178</f>
        <v>0</v>
      </c>
      <c r="Z178" s="14">
        <f>IF(AQ178="5",BJ178,0)</f>
        <v>0</v>
      </c>
      <c r="AB178" s="14">
        <f>IF(AQ178="1",BH178,0)</f>
        <v>0</v>
      </c>
      <c r="AC178" s="14">
        <f>IF(AQ178="1",BI178,0)</f>
        <v>0</v>
      </c>
      <c r="AD178" s="14">
        <f>IF(AQ178="7",BH178,0)</f>
        <v>0</v>
      </c>
      <c r="AE178" s="14">
        <f>IF(AQ178="7",BI178,0)</f>
        <v>0</v>
      </c>
      <c r="AF178" s="14">
        <f>IF(AQ178="2",BH178,0)</f>
        <v>0</v>
      </c>
      <c r="AG178" s="14">
        <f>IF(AQ178="2",BI178,0)</f>
        <v>0</v>
      </c>
      <c r="AH178" s="14">
        <f>IF(AQ178="0",BJ178,0)</f>
        <v>0</v>
      </c>
      <c r="AI178" s="43" t="s">
        <v>19</v>
      </c>
      <c r="AJ178" s="14">
        <f>IF(AN178=0,J178,0)</f>
        <v>0</v>
      </c>
      <c r="AK178" s="14">
        <f>IF(AN178=12,J178,0)</f>
        <v>0</v>
      </c>
      <c r="AL178" s="14">
        <f>IF(AN178=21,J178,0)</f>
        <v>0</v>
      </c>
      <c r="AN178" s="14">
        <v>21</v>
      </c>
      <c r="AO178" s="14">
        <f>G178*1</f>
        <v>0</v>
      </c>
      <c r="AP178" s="14">
        <f>G178*(1-1)</f>
        <v>0</v>
      </c>
      <c r="AQ178" s="13" t="s">
        <v>205</v>
      </c>
      <c r="AV178" s="14">
        <f>AW178+AX178</f>
        <v>0</v>
      </c>
      <c r="AW178" s="14">
        <f>F178*AO178</f>
        <v>0</v>
      </c>
      <c r="AX178" s="14">
        <f>F178*AP178</f>
        <v>0</v>
      </c>
      <c r="AY178" s="13" t="s">
        <v>542</v>
      </c>
      <c r="AZ178" s="13" t="s">
        <v>543</v>
      </c>
      <c r="BA178" s="43" t="s">
        <v>182</v>
      </c>
      <c r="BC178" s="14">
        <f>AW178+AX178</f>
        <v>0</v>
      </c>
      <c r="BD178" s="14">
        <f>G178/(100-BE178)*100</f>
        <v>0</v>
      </c>
      <c r="BE178" s="14">
        <v>0</v>
      </c>
      <c r="BF178" s="14">
        <f>178</f>
        <v>178</v>
      </c>
      <c r="BH178" s="14">
        <f>F178*AO178</f>
        <v>0</v>
      </c>
      <c r="BI178" s="14">
        <f>F178*AP178</f>
        <v>0</v>
      </c>
      <c r="BJ178" s="14">
        <f>F178*G178</f>
        <v>0</v>
      </c>
      <c r="BK178" s="14"/>
      <c r="BL178" s="14">
        <v>781</v>
      </c>
      <c r="BW178" s="14">
        <v>21</v>
      </c>
      <c r="BX178" s="4" t="s">
        <v>568</v>
      </c>
    </row>
    <row r="179" spans="1:76" ht="14.5" x14ac:dyDescent="0.35">
      <c r="A179" s="60" t="s">
        <v>19</v>
      </c>
      <c r="B179" s="61" t="s">
        <v>57</v>
      </c>
      <c r="C179" s="165" t="s">
        <v>58</v>
      </c>
      <c r="D179" s="166"/>
      <c r="E179" s="62" t="s">
        <v>3</v>
      </c>
      <c r="F179" s="62" t="s">
        <v>3</v>
      </c>
      <c r="G179" s="69" t="s">
        <v>3</v>
      </c>
      <c r="H179" s="38">
        <f>SUM(H180:H182)</f>
        <v>0</v>
      </c>
      <c r="I179" s="38">
        <f>SUM(I180:I182)</f>
        <v>0</v>
      </c>
      <c r="J179" s="64">
        <f>SUM(J180:J182)</f>
        <v>0</v>
      </c>
      <c r="AI179" s="43" t="s">
        <v>19</v>
      </c>
      <c r="AS179" s="38">
        <f>SUM(AJ180:AJ182)</f>
        <v>0</v>
      </c>
      <c r="AT179" s="38">
        <f>SUM(AK180:AK182)</f>
        <v>0</v>
      </c>
      <c r="AU179" s="38">
        <f>SUM(AL180:AL182)</f>
        <v>0</v>
      </c>
    </row>
    <row r="180" spans="1:76" ht="14.5" x14ac:dyDescent="0.35">
      <c r="A180" s="1" t="s">
        <v>569</v>
      </c>
      <c r="B180" s="2" t="s">
        <v>570</v>
      </c>
      <c r="C180" s="81" t="s">
        <v>571</v>
      </c>
      <c r="D180" s="75"/>
      <c r="E180" s="2" t="s">
        <v>203</v>
      </c>
      <c r="F180" s="14">
        <v>2.4500000000000002</v>
      </c>
      <c r="G180" s="55">
        <v>0</v>
      </c>
      <c r="H180" s="14">
        <f>F180*AO180</f>
        <v>0</v>
      </c>
      <c r="I180" s="14">
        <f>F180*AP180</f>
        <v>0</v>
      </c>
      <c r="J180" s="56">
        <f>F180*G180</f>
        <v>0</v>
      </c>
      <c r="Z180" s="14">
        <f>IF(AQ180="5",BJ180,0)</f>
        <v>0</v>
      </c>
      <c r="AB180" s="14">
        <f>IF(AQ180="1",BH180,0)</f>
        <v>0</v>
      </c>
      <c r="AC180" s="14">
        <f>IF(AQ180="1",BI180,0)</f>
        <v>0</v>
      </c>
      <c r="AD180" s="14">
        <f>IF(AQ180="7",BH180,0)</f>
        <v>0</v>
      </c>
      <c r="AE180" s="14">
        <f>IF(AQ180="7",BI180,0)</f>
        <v>0</v>
      </c>
      <c r="AF180" s="14">
        <f>IF(AQ180="2",BH180,0)</f>
        <v>0</v>
      </c>
      <c r="AG180" s="14">
        <f>IF(AQ180="2",BI180,0)</f>
        <v>0</v>
      </c>
      <c r="AH180" s="14">
        <f>IF(AQ180="0",BJ180,0)</f>
        <v>0</v>
      </c>
      <c r="AI180" s="43" t="s">
        <v>19</v>
      </c>
      <c r="AJ180" s="14">
        <f>IF(AN180=0,J180,0)</f>
        <v>0</v>
      </c>
      <c r="AK180" s="14">
        <f>IF(AN180=12,J180,0)</f>
        <v>0</v>
      </c>
      <c r="AL180" s="14">
        <f>IF(AN180=21,J180,0)</f>
        <v>0</v>
      </c>
      <c r="AN180" s="14">
        <v>21</v>
      </c>
      <c r="AO180" s="14">
        <f>G180*0.194300518</f>
        <v>0</v>
      </c>
      <c r="AP180" s="14">
        <f>G180*(1-0.194300518)</f>
        <v>0</v>
      </c>
      <c r="AQ180" s="13" t="s">
        <v>205</v>
      </c>
      <c r="AV180" s="14">
        <f>AW180+AX180</f>
        <v>0</v>
      </c>
      <c r="AW180" s="14">
        <f>F180*AO180</f>
        <v>0</v>
      </c>
      <c r="AX180" s="14">
        <f>F180*AP180</f>
        <v>0</v>
      </c>
      <c r="AY180" s="13" t="s">
        <v>572</v>
      </c>
      <c r="AZ180" s="13" t="s">
        <v>543</v>
      </c>
      <c r="BA180" s="43" t="s">
        <v>182</v>
      </c>
      <c r="BC180" s="14">
        <f>AW180+AX180</f>
        <v>0</v>
      </c>
      <c r="BD180" s="14">
        <f>G180/(100-BE180)*100</f>
        <v>0</v>
      </c>
      <c r="BE180" s="14">
        <v>0</v>
      </c>
      <c r="BF180" s="14">
        <f>180</f>
        <v>180</v>
      </c>
      <c r="BH180" s="14">
        <f>F180*AO180</f>
        <v>0</v>
      </c>
      <c r="BI180" s="14">
        <f>F180*AP180</f>
        <v>0</v>
      </c>
      <c r="BJ180" s="14">
        <f>F180*G180</f>
        <v>0</v>
      </c>
      <c r="BK180" s="14"/>
      <c r="BL180" s="14">
        <v>783</v>
      </c>
      <c r="BW180" s="14">
        <v>21</v>
      </c>
      <c r="BX180" s="4" t="s">
        <v>571</v>
      </c>
    </row>
    <row r="181" spans="1:76" ht="14.5" x14ac:dyDescent="0.35">
      <c r="A181" s="1" t="s">
        <v>573</v>
      </c>
      <c r="B181" s="2" t="s">
        <v>574</v>
      </c>
      <c r="C181" s="81" t="s">
        <v>575</v>
      </c>
      <c r="D181" s="75"/>
      <c r="E181" s="2" t="s">
        <v>203</v>
      </c>
      <c r="F181" s="14">
        <v>2.4500000000000002</v>
      </c>
      <c r="G181" s="55">
        <v>0</v>
      </c>
      <c r="H181" s="14">
        <f>F181*AO181</f>
        <v>0</v>
      </c>
      <c r="I181" s="14">
        <f>F181*AP181</f>
        <v>0</v>
      </c>
      <c r="J181" s="56">
        <f>F181*G181</f>
        <v>0</v>
      </c>
      <c r="Z181" s="14">
        <f>IF(AQ181="5",BJ181,0)</f>
        <v>0</v>
      </c>
      <c r="AB181" s="14">
        <f>IF(AQ181="1",BH181,0)</f>
        <v>0</v>
      </c>
      <c r="AC181" s="14">
        <f>IF(AQ181="1",BI181,0)</f>
        <v>0</v>
      </c>
      <c r="AD181" s="14">
        <f>IF(AQ181="7",BH181,0)</f>
        <v>0</v>
      </c>
      <c r="AE181" s="14">
        <f>IF(AQ181="7",BI181,0)</f>
        <v>0</v>
      </c>
      <c r="AF181" s="14">
        <f>IF(AQ181="2",BH181,0)</f>
        <v>0</v>
      </c>
      <c r="AG181" s="14">
        <f>IF(AQ181="2",BI181,0)</f>
        <v>0</v>
      </c>
      <c r="AH181" s="14">
        <f>IF(AQ181="0",BJ181,0)</f>
        <v>0</v>
      </c>
      <c r="AI181" s="43" t="s">
        <v>19</v>
      </c>
      <c r="AJ181" s="14">
        <f>IF(AN181=0,J181,0)</f>
        <v>0</v>
      </c>
      <c r="AK181" s="14">
        <f>IF(AN181=12,J181,0)</f>
        <v>0</v>
      </c>
      <c r="AL181" s="14">
        <f>IF(AN181=21,J181,0)</f>
        <v>0</v>
      </c>
      <c r="AN181" s="14">
        <v>21</v>
      </c>
      <c r="AO181" s="14">
        <f>G181*0.13402358</f>
        <v>0</v>
      </c>
      <c r="AP181" s="14">
        <f>G181*(1-0.13402358)</f>
        <v>0</v>
      </c>
      <c r="AQ181" s="13" t="s">
        <v>205</v>
      </c>
      <c r="AV181" s="14">
        <f>AW181+AX181</f>
        <v>0</v>
      </c>
      <c r="AW181" s="14">
        <f>F181*AO181</f>
        <v>0</v>
      </c>
      <c r="AX181" s="14">
        <f>F181*AP181</f>
        <v>0</v>
      </c>
      <c r="AY181" s="13" t="s">
        <v>572</v>
      </c>
      <c r="AZ181" s="13" t="s">
        <v>543</v>
      </c>
      <c r="BA181" s="43" t="s">
        <v>182</v>
      </c>
      <c r="BC181" s="14">
        <f>AW181+AX181</f>
        <v>0</v>
      </c>
      <c r="BD181" s="14">
        <f>G181/(100-BE181)*100</f>
        <v>0</v>
      </c>
      <c r="BE181" s="14">
        <v>0</v>
      </c>
      <c r="BF181" s="14">
        <f>181</f>
        <v>181</v>
      </c>
      <c r="BH181" s="14">
        <f>F181*AO181</f>
        <v>0</v>
      </c>
      <c r="BI181" s="14">
        <f>F181*AP181</f>
        <v>0</v>
      </c>
      <c r="BJ181" s="14">
        <f>F181*G181</f>
        <v>0</v>
      </c>
      <c r="BK181" s="14"/>
      <c r="BL181" s="14">
        <v>783</v>
      </c>
      <c r="BW181" s="14">
        <v>21</v>
      </c>
      <c r="BX181" s="4" t="s">
        <v>575</v>
      </c>
    </row>
    <row r="182" spans="1:76" ht="14.5" x14ac:dyDescent="0.35">
      <c r="A182" s="1" t="s">
        <v>576</v>
      </c>
      <c r="B182" s="2" t="s">
        <v>577</v>
      </c>
      <c r="C182" s="81" t="s">
        <v>578</v>
      </c>
      <c r="D182" s="75"/>
      <c r="E182" s="2" t="s">
        <v>203</v>
      </c>
      <c r="F182" s="14">
        <v>0.49280000000000002</v>
      </c>
      <c r="G182" s="55">
        <v>0</v>
      </c>
      <c r="H182" s="14">
        <f>F182*AO182</f>
        <v>0</v>
      </c>
      <c r="I182" s="14">
        <f>F182*AP182</f>
        <v>0</v>
      </c>
      <c r="J182" s="56">
        <f>F182*G182</f>
        <v>0</v>
      </c>
      <c r="Z182" s="14">
        <f>IF(AQ182="5",BJ182,0)</f>
        <v>0</v>
      </c>
      <c r="AB182" s="14">
        <f>IF(AQ182="1",BH182,0)</f>
        <v>0</v>
      </c>
      <c r="AC182" s="14">
        <f>IF(AQ182="1",BI182,0)</f>
        <v>0</v>
      </c>
      <c r="AD182" s="14">
        <f>IF(AQ182="7",BH182,0)</f>
        <v>0</v>
      </c>
      <c r="AE182" s="14">
        <f>IF(AQ182="7",BI182,0)</f>
        <v>0</v>
      </c>
      <c r="AF182" s="14">
        <f>IF(AQ182="2",BH182,0)</f>
        <v>0</v>
      </c>
      <c r="AG182" s="14">
        <f>IF(AQ182="2",BI182,0)</f>
        <v>0</v>
      </c>
      <c r="AH182" s="14">
        <f>IF(AQ182="0",BJ182,0)</f>
        <v>0</v>
      </c>
      <c r="AI182" s="43" t="s">
        <v>19</v>
      </c>
      <c r="AJ182" s="14">
        <f>IF(AN182=0,J182,0)</f>
        <v>0</v>
      </c>
      <c r="AK182" s="14">
        <f>IF(AN182=12,J182,0)</f>
        <v>0</v>
      </c>
      <c r="AL182" s="14">
        <f>IF(AN182=21,J182,0)</f>
        <v>0</v>
      </c>
      <c r="AN182" s="14">
        <v>21</v>
      </c>
      <c r="AO182" s="14">
        <f>G182*0.369160449</f>
        <v>0</v>
      </c>
      <c r="AP182" s="14">
        <f>G182*(1-0.369160449)</f>
        <v>0</v>
      </c>
      <c r="AQ182" s="13" t="s">
        <v>205</v>
      </c>
      <c r="AV182" s="14">
        <f>AW182+AX182</f>
        <v>0</v>
      </c>
      <c r="AW182" s="14">
        <f>F182*AO182</f>
        <v>0</v>
      </c>
      <c r="AX182" s="14">
        <f>F182*AP182</f>
        <v>0</v>
      </c>
      <c r="AY182" s="13" t="s">
        <v>572</v>
      </c>
      <c r="AZ182" s="13" t="s">
        <v>543</v>
      </c>
      <c r="BA182" s="43" t="s">
        <v>182</v>
      </c>
      <c r="BC182" s="14">
        <f>AW182+AX182</f>
        <v>0</v>
      </c>
      <c r="BD182" s="14">
        <f>G182/(100-BE182)*100</f>
        <v>0</v>
      </c>
      <c r="BE182" s="14">
        <v>0</v>
      </c>
      <c r="BF182" s="14">
        <f>182</f>
        <v>182</v>
      </c>
      <c r="BH182" s="14">
        <f>F182*AO182</f>
        <v>0</v>
      </c>
      <c r="BI182" s="14">
        <f>F182*AP182</f>
        <v>0</v>
      </c>
      <c r="BJ182" s="14">
        <f>F182*G182</f>
        <v>0</v>
      </c>
      <c r="BK182" s="14"/>
      <c r="BL182" s="14">
        <v>783</v>
      </c>
      <c r="BW182" s="14">
        <v>21</v>
      </c>
      <c r="BX182" s="4" t="s">
        <v>578</v>
      </c>
    </row>
    <row r="183" spans="1:76" ht="14.5" x14ac:dyDescent="0.35">
      <c r="A183" s="57"/>
      <c r="B183" s="58" t="s">
        <v>190</v>
      </c>
      <c r="C183" s="154" t="s">
        <v>579</v>
      </c>
      <c r="D183" s="155"/>
      <c r="E183" s="155"/>
      <c r="F183" s="155"/>
      <c r="G183" s="156"/>
      <c r="H183" s="155"/>
      <c r="I183" s="155"/>
      <c r="J183" s="157"/>
      <c r="BX183" s="59" t="s">
        <v>579</v>
      </c>
    </row>
    <row r="184" spans="1:76" ht="14.5" x14ac:dyDescent="0.35">
      <c r="A184" s="60" t="s">
        <v>19</v>
      </c>
      <c r="B184" s="61" t="s">
        <v>59</v>
      </c>
      <c r="C184" s="165" t="s">
        <v>60</v>
      </c>
      <c r="D184" s="166"/>
      <c r="E184" s="62" t="s">
        <v>3</v>
      </c>
      <c r="F184" s="62" t="s">
        <v>3</v>
      </c>
      <c r="G184" s="69" t="s">
        <v>3</v>
      </c>
      <c r="H184" s="38">
        <f>SUM(H185:H185)</f>
        <v>0</v>
      </c>
      <c r="I184" s="38">
        <f>SUM(I185:I185)</f>
        <v>0</v>
      </c>
      <c r="J184" s="64">
        <f>SUM(J185:J185)</f>
        <v>0</v>
      </c>
      <c r="AI184" s="43" t="s">
        <v>19</v>
      </c>
      <c r="AS184" s="38">
        <f>SUM(AJ185:AJ185)</f>
        <v>0</v>
      </c>
      <c r="AT184" s="38">
        <f>SUM(AK185:AK185)</f>
        <v>0</v>
      </c>
      <c r="AU184" s="38">
        <f>SUM(AL185:AL185)</f>
        <v>0</v>
      </c>
    </row>
    <row r="185" spans="1:76" ht="27" customHeight="1" x14ac:dyDescent="0.35">
      <c r="A185" s="1" t="s">
        <v>580</v>
      </c>
      <c r="B185" s="2" t="s">
        <v>581</v>
      </c>
      <c r="C185" s="81" t="s">
        <v>582</v>
      </c>
      <c r="D185" s="75"/>
      <c r="E185" s="2" t="s">
        <v>203</v>
      </c>
      <c r="F185" s="14">
        <v>70.599999999999994</v>
      </c>
      <c r="G185" s="55">
        <v>0</v>
      </c>
      <c r="H185" s="14">
        <f>F185*AO185</f>
        <v>0</v>
      </c>
      <c r="I185" s="14">
        <f>F185*AP185</f>
        <v>0</v>
      </c>
      <c r="J185" s="56">
        <f>F185*G185</f>
        <v>0</v>
      </c>
      <c r="Z185" s="14">
        <f>IF(AQ185="5",BJ185,0)</f>
        <v>0</v>
      </c>
      <c r="AB185" s="14">
        <f>IF(AQ185="1",BH185,0)</f>
        <v>0</v>
      </c>
      <c r="AC185" s="14">
        <f>IF(AQ185="1",BI185,0)</f>
        <v>0</v>
      </c>
      <c r="AD185" s="14">
        <f>IF(AQ185="7",BH185,0)</f>
        <v>0</v>
      </c>
      <c r="AE185" s="14">
        <f>IF(AQ185="7",BI185,0)</f>
        <v>0</v>
      </c>
      <c r="AF185" s="14">
        <f>IF(AQ185="2",BH185,0)</f>
        <v>0</v>
      </c>
      <c r="AG185" s="14">
        <f>IF(AQ185="2",BI185,0)</f>
        <v>0</v>
      </c>
      <c r="AH185" s="14">
        <f>IF(AQ185="0",BJ185,0)</f>
        <v>0</v>
      </c>
      <c r="AI185" s="43" t="s">
        <v>19</v>
      </c>
      <c r="AJ185" s="14">
        <f>IF(AN185=0,J185,0)</f>
        <v>0</v>
      </c>
      <c r="AK185" s="14">
        <f>IF(AN185=12,J185,0)</f>
        <v>0</v>
      </c>
      <c r="AL185" s="14">
        <f>IF(AN185=21,J185,0)</f>
        <v>0</v>
      </c>
      <c r="AN185" s="14">
        <v>21</v>
      </c>
      <c r="AO185" s="14">
        <f>G185*0</f>
        <v>0</v>
      </c>
      <c r="AP185" s="14">
        <f>G185*(1-0)</f>
        <v>0</v>
      </c>
      <c r="AQ185" s="13" t="s">
        <v>176</v>
      </c>
      <c r="AV185" s="14">
        <f>AW185+AX185</f>
        <v>0</v>
      </c>
      <c r="AW185" s="14">
        <f>F185*AO185</f>
        <v>0</v>
      </c>
      <c r="AX185" s="14">
        <f>F185*AP185</f>
        <v>0</v>
      </c>
      <c r="AY185" s="13" t="s">
        <v>583</v>
      </c>
      <c r="AZ185" s="13" t="s">
        <v>584</v>
      </c>
      <c r="BA185" s="43" t="s">
        <v>182</v>
      </c>
      <c r="BC185" s="14">
        <f>AW185+AX185</f>
        <v>0</v>
      </c>
      <c r="BD185" s="14">
        <f>G185/(100-BE185)*100</f>
        <v>0</v>
      </c>
      <c r="BE185" s="14">
        <v>0</v>
      </c>
      <c r="BF185" s="14">
        <f>185</f>
        <v>185</v>
      </c>
      <c r="BH185" s="14">
        <f>F185*AO185</f>
        <v>0</v>
      </c>
      <c r="BI185" s="14">
        <f>F185*AP185</f>
        <v>0</v>
      </c>
      <c r="BJ185" s="14">
        <f>F185*G185</f>
        <v>0</v>
      </c>
      <c r="BK185" s="14"/>
      <c r="BL185" s="14">
        <v>94</v>
      </c>
      <c r="BW185" s="14">
        <v>21</v>
      </c>
      <c r="BX185" s="4" t="s">
        <v>582</v>
      </c>
    </row>
    <row r="186" spans="1:76" ht="14.5" x14ac:dyDescent="0.35">
      <c r="A186" s="60" t="s">
        <v>19</v>
      </c>
      <c r="B186" s="61" t="s">
        <v>61</v>
      </c>
      <c r="C186" s="165" t="s">
        <v>62</v>
      </c>
      <c r="D186" s="166"/>
      <c r="E186" s="62" t="s">
        <v>3</v>
      </c>
      <c r="F186" s="62" t="s">
        <v>3</v>
      </c>
      <c r="G186" s="69" t="s">
        <v>3</v>
      </c>
      <c r="H186" s="38">
        <f>SUM(H187:H197)</f>
        <v>0</v>
      </c>
      <c r="I186" s="38">
        <f>SUM(I187:I197)</f>
        <v>0</v>
      </c>
      <c r="J186" s="64">
        <f>SUM(J187:J197)</f>
        <v>0</v>
      </c>
      <c r="AI186" s="43" t="s">
        <v>19</v>
      </c>
      <c r="AS186" s="38">
        <f>SUM(AJ187:AJ197)</f>
        <v>0</v>
      </c>
      <c r="AT186" s="38">
        <f>SUM(AK187:AK197)</f>
        <v>0</v>
      </c>
      <c r="AU186" s="38">
        <f>SUM(AL187:AL197)</f>
        <v>0</v>
      </c>
    </row>
    <row r="187" spans="1:76" ht="27" customHeight="1" x14ac:dyDescent="0.35">
      <c r="A187" s="1" t="s">
        <v>585</v>
      </c>
      <c r="B187" s="2" t="s">
        <v>586</v>
      </c>
      <c r="C187" s="81" t="s">
        <v>792</v>
      </c>
      <c r="D187" s="75"/>
      <c r="E187" s="2" t="s">
        <v>371</v>
      </c>
      <c r="F187" s="14">
        <v>1</v>
      </c>
      <c r="G187" s="55">
        <v>0</v>
      </c>
      <c r="H187" s="14">
        <f>F187*AO187</f>
        <v>0</v>
      </c>
      <c r="I187" s="14">
        <f>F187*AP187</f>
        <v>0</v>
      </c>
      <c r="J187" s="56">
        <f>F187*G187</f>
        <v>0</v>
      </c>
      <c r="Z187" s="14">
        <f>IF(AQ187="5",BJ187,0)</f>
        <v>0</v>
      </c>
      <c r="AB187" s="14">
        <f>IF(AQ187="1",BH187,0)</f>
        <v>0</v>
      </c>
      <c r="AC187" s="14">
        <f>IF(AQ187="1",BI187,0)</f>
        <v>0</v>
      </c>
      <c r="AD187" s="14">
        <f>IF(AQ187="7",BH187,0)</f>
        <v>0</v>
      </c>
      <c r="AE187" s="14">
        <f>IF(AQ187="7",BI187,0)</f>
        <v>0</v>
      </c>
      <c r="AF187" s="14">
        <f>IF(AQ187="2",BH187,0)</f>
        <v>0</v>
      </c>
      <c r="AG187" s="14">
        <f>IF(AQ187="2",BI187,0)</f>
        <v>0</v>
      </c>
      <c r="AH187" s="14">
        <f>IF(AQ187="0",BJ187,0)</f>
        <v>0</v>
      </c>
      <c r="AI187" s="43" t="s">
        <v>19</v>
      </c>
      <c r="AJ187" s="14">
        <f>IF(AN187=0,J187,0)</f>
        <v>0</v>
      </c>
      <c r="AK187" s="14">
        <f>IF(AN187=12,J187,0)</f>
        <v>0</v>
      </c>
      <c r="AL187" s="14">
        <f>IF(AN187=21,J187,0)</f>
        <v>0</v>
      </c>
      <c r="AN187" s="14">
        <v>21</v>
      </c>
      <c r="AO187" s="14">
        <f>G187*0</f>
        <v>0</v>
      </c>
      <c r="AP187" s="14">
        <f>G187*(1-0)</f>
        <v>0</v>
      </c>
      <c r="AQ187" s="13" t="s">
        <v>176</v>
      </c>
      <c r="AV187" s="14">
        <f>AW187+AX187</f>
        <v>0</v>
      </c>
      <c r="AW187" s="14">
        <f>F187*AO187</f>
        <v>0</v>
      </c>
      <c r="AX187" s="14">
        <f>F187*AP187</f>
        <v>0</v>
      </c>
      <c r="AY187" s="13" t="s">
        <v>588</v>
      </c>
      <c r="AZ187" s="13" t="s">
        <v>584</v>
      </c>
      <c r="BA187" s="43" t="s">
        <v>182</v>
      </c>
      <c r="BC187" s="14">
        <f>AW187+AX187</f>
        <v>0</v>
      </c>
      <c r="BD187" s="14">
        <f>G187/(100-BE187)*100</f>
        <v>0</v>
      </c>
      <c r="BE187" s="14">
        <v>0</v>
      </c>
      <c r="BF187" s="14">
        <f>187</f>
        <v>187</v>
      </c>
      <c r="BH187" s="14">
        <f>F187*AO187</f>
        <v>0</v>
      </c>
      <c r="BI187" s="14">
        <f>F187*AP187</f>
        <v>0</v>
      </c>
      <c r="BJ187" s="14">
        <f>F187*G187</f>
        <v>0</v>
      </c>
      <c r="BK187" s="14"/>
      <c r="BL187" s="14">
        <v>95</v>
      </c>
      <c r="BW187" s="14">
        <v>21</v>
      </c>
      <c r="BX187" s="4" t="s">
        <v>587</v>
      </c>
    </row>
    <row r="188" spans="1:76" ht="14.5" x14ac:dyDescent="0.35">
      <c r="A188" s="57"/>
      <c r="B188" s="58" t="s">
        <v>190</v>
      </c>
      <c r="C188" s="154" t="s">
        <v>589</v>
      </c>
      <c r="D188" s="155"/>
      <c r="E188" s="155"/>
      <c r="F188" s="155"/>
      <c r="G188" s="156"/>
      <c r="H188" s="155"/>
      <c r="I188" s="155"/>
      <c r="J188" s="157"/>
      <c r="BX188" s="59" t="s">
        <v>589</v>
      </c>
    </row>
    <row r="189" spans="1:76" ht="14.5" x14ac:dyDescent="0.35">
      <c r="A189" s="1" t="s">
        <v>590</v>
      </c>
      <c r="B189" s="2" t="s">
        <v>591</v>
      </c>
      <c r="C189" s="81" t="s">
        <v>592</v>
      </c>
      <c r="D189" s="75"/>
      <c r="E189" s="2" t="s">
        <v>215</v>
      </c>
      <c r="F189" s="14">
        <v>1</v>
      </c>
      <c r="G189" s="55">
        <v>0</v>
      </c>
      <c r="H189" s="14">
        <f>F189*AO189</f>
        <v>0</v>
      </c>
      <c r="I189" s="14">
        <f>F189*AP189</f>
        <v>0</v>
      </c>
      <c r="J189" s="56">
        <f>F189*G189</f>
        <v>0</v>
      </c>
      <c r="Z189" s="14">
        <f>IF(AQ189="5",BJ189,0)</f>
        <v>0</v>
      </c>
      <c r="AB189" s="14">
        <f>IF(AQ189="1",BH189,0)</f>
        <v>0</v>
      </c>
      <c r="AC189" s="14">
        <f>IF(AQ189="1",BI189,0)</f>
        <v>0</v>
      </c>
      <c r="AD189" s="14">
        <f>IF(AQ189="7",BH189,0)</f>
        <v>0</v>
      </c>
      <c r="AE189" s="14">
        <f>IF(AQ189="7",BI189,0)</f>
        <v>0</v>
      </c>
      <c r="AF189" s="14">
        <f>IF(AQ189="2",BH189,0)</f>
        <v>0</v>
      </c>
      <c r="AG189" s="14">
        <f>IF(AQ189="2",BI189,0)</f>
        <v>0</v>
      </c>
      <c r="AH189" s="14">
        <f>IF(AQ189="0",BJ189,0)</f>
        <v>0</v>
      </c>
      <c r="AI189" s="43" t="s">
        <v>19</v>
      </c>
      <c r="AJ189" s="14">
        <f>IF(AN189=0,J189,0)</f>
        <v>0</v>
      </c>
      <c r="AK189" s="14">
        <f>IF(AN189=12,J189,0)</f>
        <v>0</v>
      </c>
      <c r="AL189" s="14">
        <f>IF(AN189=21,J189,0)</f>
        <v>0</v>
      </c>
      <c r="AN189" s="14">
        <v>21</v>
      </c>
      <c r="AO189" s="14">
        <f>G189*1</f>
        <v>0</v>
      </c>
      <c r="AP189" s="14">
        <f>G189*(1-1)</f>
        <v>0</v>
      </c>
      <c r="AQ189" s="13" t="s">
        <v>176</v>
      </c>
      <c r="AV189" s="14">
        <f>AW189+AX189</f>
        <v>0</v>
      </c>
      <c r="AW189" s="14">
        <f>F189*AO189</f>
        <v>0</v>
      </c>
      <c r="AX189" s="14">
        <f>F189*AP189</f>
        <v>0</v>
      </c>
      <c r="AY189" s="13" t="s">
        <v>588</v>
      </c>
      <c r="AZ189" s="13" t="s">
        <v>584</v>
      </c>
      <c r="BA189" s="43" t="s">
        <v>182</v>
      </c>
      <c r="BC189" s="14">
        <f>AW189+AX189</f>
        <v>0</v>
      </c>
      <c r="BD189" s="14">
        <f>G189/(100-BE189)*100</f>
        <v>0</v>
      </c>
      <c r="BE189" s="14">
        <v>0</v>
      </c>
      <c r="BF189" s="14">
        <f>189</f>
        <v>189</v>
      </c>
      <c r="BH189" s="14">
        <f>F189*AO189</f>
        <v>0</v>
      </c>
      <c r="BI189" s="14">
        <f>F189*AP189</f>
        <v>0</v>
      </c>
      <c r="BJ189" s="14">
        <f>F189*G189</f>
        <v>0</v>
      </c>
      <c r="BK189" s="14"/>
      <c r="BL189" s="14">
        <v>95</v>
      </c>
      <c r="BW189" s="14">
        <v>21</v>
      </c>
      <c r="BX189" s="4" t="s">
        <v>592</v>
      </c>
    </row>
    <row r="190" spans="1:76" ht="14.5" x14ac:dyDescent="0.35">
      <c r="A190" s="1" t="s">
        <v>593</v>
      </c>
      <c r="B190" s="2" t="s">
        <v>594</v>
      </c>
      <c r="C190" s="81" t="s">
        <v>595</v>
      </c>
      <c r="D190" s="75"/>
      <c r="E190" s="2" t="s">
        <v>215</v>
      </c>
      <c r="F190" s="14">
        <v>4</v>
      </c>
      <c r="G190" s="55">
        <v>0</v>
      </c>
      <c r="H190" s="14">
        <f>F190*AO190</f>
        <v>0</v>
      </c>
      <c r="I190" s="14">
        <f>F190*AP190</f>
        <v>0</v>
      </c>
      <c r="J190" s="56">
        <f>F190*G190</f>
        <v>0</v>
      </c>
      <c r="Z190" s="14">
        <f>IF(AQ190="5",BJ190,0)</f>
        <v>0</v>
      </c>
      <c r="AB190" s="14">
        <f>IF(AQ190="1",BH190,0)</f>
        <v>0</v>
      </c>
      <c r="AC190" s="14">
        <f>IF(AQ190="1",BI190,0)</f>
        <v>0</v>
      </c>
      <c r="AD190" s="14">
        <f>IF(AQ190="7",BH190,0)</f>
        <v>0</v>
      </c>
      <c r="AE190" s="14">
        <f>IF(AQ190="7",BI190,0)</f>
        <v>0</v>
      </c>
      <c r="AF190" s="14">
        <f>IF(AQ190="2",BH190,0)</f>
        <v>0</v>
      </c>
      <c r="AG190" s="14">
        <f>IF(AQ190="2",BI190,0)</f>
        <v>0</v>
      </c>
      <c r="AH190" s="14">
        <f>IF(AQ190="0",BJ190,0)</f>
        <v>0</v>
      </c>
      <c r="AI190" s="43" t="s">
        <v>19</v>
      </c>
      <c r="AJ190" s="14">
        <f>IF(AN190=0,J190,0)</f>
        <v>0</v>
      </c>
      <c r="AK190" s="14">
        <f>IF(AN190=12,J190,0)</f>
        <v>0</v>
      </c>
      <c r="AL190" s="14">
        <f>IF(AN190=21,J190,0)</f>
        <v>0</v>
      </c>
      <c r="AN190" s="14">
        <v>21</v>
      </c>
      <c r="AO190" s="14">
        <f>G190*0.76438806</f>
        <v>0</v>
      </c>
      <c r="AP190" s="14">
        <f>G190*(1-0.76438806)</f>
        <v>0</v>
      </c>
      <c r="AQ190" s="13" t="s">
        <v>176</v>
      </c>
      <c r="AV190" s="14">
        <f>AW190+AX190</f>
        <v>0</v>
      </c>
      <c r="AW190" s="14">
        <f>F190*AO190</f>
        <v>0</v>
      </c>
      <c r="AX190" s="14">
        <f>F190*AP190</f>
        <v>0</v>
      </c>
      <c r="AY190" s="13" t="s">
        <v>588</v>
      </c>
      <c r="AZ190" s="13" t="s">
        <v>584</v>
      </c>
      <c r="BA190" s="43" t="s">
        <v>182</v>
      </c>
      <c r="BC190" s="14">
        <f>AW190+AX190</f>
        <v>0</v>
      </c>
      <c r="BD190" s="14">
        <f>G190/(100-BE190)*100</f>
        <v>0</v>
      </c>
      <c r="BE190" s="14">
        <v>0</v>
      </c>
      <c r="BF190" s="14">
        <f>190</f>
        <v>190</v>
      </c>
      <c r="BH190" s="14">
        <f>F190*AO190</f>
        <v>0</v>
      </c>
      <c r="BI190" s="14">
        <f>F190*AP190</f>
        <v>0</v>
      </c>
      <c r="BJ190" s="14">
        <f>F190*G190</f>
        <v>0</v>
      </c>
      <c r="BK190" s="14"/>
      <c r="BL190" s="14">
        <v>95</v>
      </c>
      <c r="BW190" s="14">
        <v>21</v>
      </c>
      <c r="BX190" s="4" t="s">
        <v>595</v>
      </c>
    </row>
    <row r="191" spans="1:76" ht="14.5" x14ac:dyDescent="0.35">
      <c r="A191" s="1" t="s">
        <v>596</v>
      </c>
      <c r="B191" s="2" t="s">
        <v>597</v>
      </c>
      <c r="C191" s="81" t="s">
        <v>598</v>
      </c>
      <c r="D191" s="75"/>
      <c r="E191" s="2" t="s">
        <v>232</v>
      </c>
      <c r="F191" s="14">
        <v>1</v>
      </c>
      <c r="G191" s="55">
        <v>0</v>
      </c>
      <c r="H191" s="14">
        <f>F191*AO191</f>
        <v>0</v>
      </c>
      <c r="I191" s="14">
        <f>F191*AP191</f>
        <v>0</v>
      </c>
      <c r="J191" s="56">
        <f>F191*G191</f>
        <v>0</v>
      </c>
      <c r="Z191" s="14">
        <f>IF(AQ191="5",BJ191,0)</f>
        <v>0</v>
      </c>
      <c r="AB191" s="14">
        <f>IF(AQ191="1",BH191,0)</f>
        <v>0</v>
      </c>
      <c r="AC191" s="14">
        <f>IF(AQ191="1",BI191,0)</f>
        <v>0</v>
      </c>
      <c r="AD191" s="14">
        <f>IF(AQ191="7",BH191,0)</f>
        <v>0</v>
      </c>
      <c r="AE191" s="14">
        <f>IF(AQ191="7",BI191,0)</f>
        <v>0</v>
      </c>
      <c r="AF191" s="14">
        <f>IF(AQ191="2",BH191,0)</f>
        <v>0</v>
      </c>
      <c r="AG191" s="14">
        <f>IF(AQ191="2",BI191,0)</f>
        <v>0</v>
      </c>
      <c r="AH191" s="14">
        <f>IF(AQ191="0",BJ191,0)</f>
        <v>0</v>
      </c>
      <c r="AI191" s="43" t="s">
        <v>19</v>
      </c>
      <c r="AJ191" s="14">
        <f>IF(AN191=0,J191,0)</f>
        <v>0</v>
      </c>
      <c r="AK191" s="14">
        <f>IF(AN191=12,J191,0)</f>
        <v>0</v>
      </c>
      <c r="AL191" s="14">
        <f>IF(AN191=21,J191,0)</f>
        <v>0</v>
      </c>
      <c r="AN191" s="14">
        <v>21</v>
      </c>
      <c r="AO191" s="14">
        <f>G191*1</f>
        <v>0</v>
      </c>
      <c r="AP191" s="14">
        <f>G191*(1-1)</f>
        <v>0</v>
      </c>
      <c r="AQ191" s="13" t="s">
        <v>176</v>
      </c>
      <c r="AV191" s="14">
        <f>AW191+AX191</f>
        <v>0</v>
      </c>
      <c r="AW191" s="14">
        <f>F191*AO191</f>
        <v>0</v>
      </c>
      <c r="AX191" s="14">
        <f>F191*AP191</f>
        <v>0</v>
      </c>
      <c r="AY191" s="13" t="s">
        <v>588</v>
      </c>
      <c r="AZ191" s="13" t="s">
        <v>584</v>
      </c>
      <c r="BA191" s="43" t="s">
        <v>182</v>
      </c>
      <c r="BC191" s="14">
        <f>AW191+AX191</f>
        <v>0</v>
      </c>
      <c r="BD191" s="14">
        <f>G191/(100-BE191)*100</f>
        <v>0</v>
      </c>
      <c r="BE191" s="14">
        <v>0</v>
      </c>
      <c r="BF191" s="14">
        <f>191</f>
        <v>191</v>
      </c>
      <c r="BH191" s="14">
        <f>F191*AO191</f>
        <v>0</v>
      </c>
      <c r="BI191" s="14">
        <f>F191*AP191</f>
        <v>0</v>
      </c>
      <c r="BJ191" s="14">
        <f>F191*G191</f>
        <v>0</v>
      </c>
      <c r="BK191" s="14"/>
      <c r="BL191" s="14">
        <v>95</v>
      </c>
      <c r="BW191" s="14">
        <v>21</v>
      </c>
      <c r="BX191" s="4" t="s">
        <v>598</v>
      </c>
    </row>
    <row r="192" spans="1:76" ht="14.5" x14ac:dyDescent="0.35">
      <c r="A192" s="1" t="s">
        <v>599</v>
      </c>
      <c r="B192" s="2" t="s">
        <v>600</v>
      </c>
      <c r="C192" s="81" t="s">
        <v>601</v>
      </c>
      <c r="D192" s="75"/>
      <c r="E192" s="2" t="s">
        <v>215</v>
      </c>
      <c r="F192" s="14">
        <v>4</v>
      </c>
      <c r="G192" s="55">
        <v>0</v>
      </c>
      <c r="H192" s="14">
        <f>F192*AO192</f>
        <v>0</v>
      </c>
      <c r="I192" s="14">
        <f>F192*AP192</f>
        <v>0</v>
      </c>
      <c r="J192" s="56">
        <f>F192*G192</f>
        <v>0</v>
      </c>
      <c r="Z192" s="14">
        <f>IF(AQ192="5",BJ192,0)</f>
        <v>0</v>
      </c>
      <c r="AB192" s="14">
        <f>IF(AQ192="1",BH192,0)</f>
        <v>0</v>
      </c>
      <c r="AC192" s="14">
        <f>IF(AQ192="1",BI192,0)</f>
        <v>0</v>
      </c>
      <c r="AD192" s="14">
        <f>IF(AQ192="7",BH192,0)</f>
        <v>0</v>
      </c>
      <c r="AE192" s="14">
        <f>IF(AQ192="7",BI192,0)</f>
        <v>0</v>
      </c>
      <c r="AF192" s="14">
        <f>IF(AQ192="2",BH192,0)</f>
        <v>0</v>
      </c>
      <c r="AG192" s="14">
        <f>IF(AQ192="2",BI192,0)</f>
        <v>0</v>
      </c>
      <c r="AH192" s="14">
        <f>IF(AQ192="0",BJ192,0)</f>
        <v>0</v>
      </c>
      <c r="AI192" s="43" t="s">
        <v>19</v>
      </c>
      <c r="AJ192" s="14">
        <f>IF(AN192=0,J192,0)</f>
        <v>0</v>
      </c>
      <c r="AK192" s="14">
        <f>IF(AN192=12,J192,0)</f>
        <v>0</v>
      </c>
      <c r="AL192" s="14">
        <f>IF(AN192=21,J192,0)</f>
        <v>0</v>
      </c>
      <c r="AN192" s="14">
        <v>21</v>
      </c>
      <c r="AO192" s="14">
        <f>G192*1</f>
        <v>0</v>
      </c>
      <c r="AP192" s="14">
        <f>G192*(1-1)</f>
        <v>0</v>
      </c>
      <c r="AQ192" s="13" t="s">
        <v>176</v>
      </c>
      <c r="AV192" s="14">
        <f>AW192+AX192</f>
        <v>0</v>
      </c>
      <c r="AW192" s="14">
        <f>F192*AO192</f>
        <v>0</v>
      </c>
      <c r="AX192" s="14">
        <f>F192*AP192</f>
        <v>0</v>
      </c>
      <c r="AY192" s="13" t="s">
        <v>588</v>
      </c>
      <c r="AZ192" s="13" t="s">
        <v>584</v>
      </c>
      <c r="BA192" s="43" t="s">
        <v>182</v>
      </c>
      <c r="BC192" s="14">
        <f>AW192+AX192</f>
        <v>0</v>
      </c>
      <c r="BD192" s="14">
        <f>G192/(100-BE192)*100</f>
        <v>0</v>
      </c>
      <c r="BE192" s="14">
        <v>0</v>
      </c>
      <c r="BF192" s="14">
        <f>192</f>
        <v>192</v>
      </c>
      <c r="BH192" s="14">
        <f>F192*AO192</f>
        <v>0</v>
      </c>
      <c r="BI192" s="14">
        <f>F192*AP192</f>
        <v>0</v>
      </c>
      <c r="BJ192" s="14">
        <f>F192*G192</f>
        <v>0</v>
      </c>
      <c r="BK192" s="14"/>
      <c r="BL192" s="14">
        <v>95</v>
      </c>
      <c r="BW192" s="14">
        <v>21</v>
      </c>
      <c r="BX192" s="4" t="s">
        <v>601</v>
      </c>
    </row>
    <row r="193" spans="1:76" ht="14.5" x14ac:dyDescent="0.35">
      <c r="A193" s="1" t="s">
        <v>602</v>
      </c>
      <c r="B193" s="2" t="s">
        <v>603</v>
      </c>
      <c r="C193" s="81" t="s">
        <v>604</v>
      </c>
      <c r="D193" s="75"/>
      <c r="E193" s="2" t="s">
        <v>215</v>
      </c>
      <c r="F193" s="14">
        <v>2</v>
      </c>
      <c r="G193" s="55">
        <v>0</v>
      </c>
      <c r="H193" s="14">
        <f>F193*AO193</f>
        <v>0</v>
      </c>
      <c r="I193" s="14">
        <f>F193*AP193</f>
        <v>0</v>
      </c>
      <c r="J193" s="56">
        <f>F193*G193</f>
        <v>0</v>
      </c>
      <c r="Z193" s="14">
        <f>IF(AQ193="5",BJ193,0)</f>
        <v>0</v>
      </c>
      <c r="AB193" s="14">
        <f>IF(AQ193="1",BH193,0)</f>
        <v>0</v>
      </c>
      <c r="AC193" s="14">
        <f>IF(AQ193="1",BI193,0)</f>
        <v>0</v>
      </c>
      <c r="AD193" s="14">
        <f>IF(AQ193="7",BH193,0)</f>
        <v>0</v>
      </c>
      <c r="AE193" s="14">
        <f>IF(AQ193="7",BI193,0)</f>
        <v>0</v>
      </c>
      <c r="AF193" s="14">
        <f>IF(AQ193="2",BH193,0)</f>
        <v>0</v>
      </c>
      <c r="AG193" s="14">
        <f>IF(AQ193="2",BI193,0)</f>
        <v>0</v>
      </c>
      <c r="AH193" s="14">
        <f>IF(AQ193="0",BJ193,0)</f>
        <v>0</v>
      </c>
      <c r="AI193" s="43" t="s">
        <v>19</v>
      </c>
      <c r="AJ193" s="14">
        <f>IF(AN193=0,J193,0)</f>
        <v>0</v>
      </c>
      <c r="AK193" s="14">
        <f>IF(AN193=12,J193,0)</f>
        <v>0</v>
      </c>
      <c r="AL193" s="14">
        <f>IF(AN193=21,J193,0)</f>
        <v>0</v>
      </c>
      <c r="AN193" s="14">
        <v>21</v>
      </c>
      <c r="AO193" s="14">
        <f>G193*0.089096573</f>
        <v>0</v>
      </c>
      <c r="AP193" s="14">
        <f>G193*(1-0.089096573)</f>
        <v>0</v>
      </c>
      <c r="AQ193" s="13" t="s">
        <v>176</v>
      </c>
      <c r="AV193" s="14">
        <f>AW193+AX193</f>
        <v>0</v>
      </c>
      <c r="AW193" s="14">
        <f>F193*AO193</f>
        <v>0</v>
      </c>
      <c r="AX193" s="14">
        <f>F193*AP193</f>
        <v>0</v>
      </c>
      <c r="AY193" s="13" t="s">
        <v>588</v>
      </c>
      <c r="AZ193" s="13" t="s">
        <v>584</v>
      </c>
      <c r="BA193" s="43" t="s">
        <v>182</v>
      </c>
      <c r="BC193" s="14">
        <f>AW193+AX193</f>
        <v>0</v>
      </c>
      <c r="BD193" s="14">
        <f>G193/(100-BE193)*100</f>
        <v>0</v>
      </c>
      <c r="BE193" s="14">
        <v>0</v>
      </c>
      <c r="BF193" s="14">
        <f>193</f>
        <v>193</v>
      </c>
      <c r="BH193" s="14">
        <f>F193*AO193</f>
        <v>0</v>
      </c>
      <c r="BI193" s="14">
        <f>F193*AP193</f>
        <v>0</v>
      </c>
      <c r="BJ193" s="14">
        <f>F193*G193</f>
        <v>0</v>
      </c>
      <c r="BK193" s="14"/>
      <c r="BL193" s="14">
        <v>95</v>
      </c>
      <c r="BW193" s="14">
        <v>21</v>
      </c>
      <c r="BX193" s="4" t="s">
        <v>604</v>
      </c>
    </row>
    <row r="194" spans="1:76" ht="26" x14ac:dyDescent="0.35">
      <c r="A194" s="57"/>
      <c r="B194" s="58" t="s">
        <v>190</v>
      </c>
      <c r="C194" s="154" t="s">
        <v>605</v>
      </c>
      <c r="D194" s="155"/>
      <c r="E194" s="155"/>
      <c r="F194" s="155"/>
      <c r="G194" s="156"/>
      <c r="H194" s="155"/>
      <c r="I194" s="155"/>
      <c r="J194" s="157"/>
      <c r="BX194" s="59" t="s">
        <v>605</v>
      </c>
    </row>
    <row r="195" spans="1:76" ht="14.5" x14ac:dyDescent="0.35">
      <c r="A195" s="1" t="s">
        <v>606</v>
      </c>
      <c r="B195" s="2" t="s">
        <v>607</v>
      </c>
      <c r="C195" s="81" t="s">
        <v>771</v>
      </c>
      <c r="D195" s="75"/>
      <c r="E195" s="2" t="s">
        <v>215</v>
      </c>
      <c r="F195" s="14">
        <v>1</v>
      </c>
      <c r="G195" s="55">
        <v>0</v>
      </c>
      <c r="H195" s="14">
        <f>F195*AO195</f>
        <v>0</v>
      </c>
      <c r="I195" s="14">
        <f>F195*AP195</f>
        <v>0</v>
      </c>
      <c r="J195" s="56">
        <f>F195*G195</f>
        <v>0</v>
      </c>
      <c r="Z195" s="14">
        <f>IF(AQ195="5",BJ195,0)</f>
        <v>0</v>
      </c>
      <c r="AB195" s="14">
        <f>IF(AQ195="1",BH195,0)</f>
        <v>0</v>
      </c>
      <c r="AC195" s="14">
        <f>IF(AQ195="1",BI195,0)</f>
        <v>0</v>
      </c>
      <c r="AD195" s="14">
        <f>IF(AQ195="7",BH195,0)</f>
        <v>0</v>
      </c>
      <c r="AE195" s="14">
        <f>IF(AQ195="7",BI195,0)</f>
        <v>0</v>
      </c>
      <c r="AF195" s="14">
        <f>IF(AQ195="2",BH195,0)</f>
        <v>0</v>
      </c>
      <c r="AG195" s="14">
        <f>IF(AQ195="2",BI195,0)</f>
        <v>0</v>
      </c>
      <c r="AH195" s="14">
        <f>IF(AQ195="0",BJ195,0)</f>
        <v>0</v>
      </c>
      <c r="AI195" s="43" t="s">
        <v>19</v>
      </c>
      <c r="AJ195" s="14">
        <f>IF(AN195=0,J195,0)</f>
        <v>0</v>
      </c>
      <c r="AK195" s="14">
        <f>IF(AN195=12,J195,0)</f>
        <v>0</v>
      </c>
      <c r="AL195" s="14">
        <f>IF(AN195=21,J195,0)</f>
        <v>0</v>
      </c>
      <c r="AN195" s="14">
        <v>21</v>
      </c>
      <c r="AO195" s="14">
        <f>G195*1</f>
        <v>0</v>
      </c>
      <c r="AP195" s="14">
        <f>G195*(1-1)</f>
        <v>0</v>
      </c>
      <c r="AQ195" s="13" t="s">
        <v>176</v>
      </c>
      <c r="AV195" s="14">
        <f>AW195+AX195</f>
        <v>0</v>
      </c>
      <c r="AW195" s="14">
        <f>F195*AO195</f>
        <v>0</v>
      </c>
      <c r="AX195" s="14">
        <f>F195*AP195</f>
        <v>0</v>
      </c>
      <c r="AY195" s="13" t="s">
        <v>588</v>
      </c>
      <c r="AZ195" s="13" t="s">
        <v>584</v>
      </c>
      <c r="BA195" s="43" t="s">
        <v>182</v>
      </c>
      <c r="BC195" s="14">
        <f>AW195+AX195</f>
        <v>0</v>
      </c>
      <c r="BD195" s="14">
        <f>G195/(100-BE195)*100</f>
        <v>0</v>
      </c>
      <c r="BE195" s="14">
        <v>0</v>
      </c>
      <c r="BF195" s="14">
        <f>195</f>
        <v>195</v>
      </c>
      <c r="BH195" s="14">
        <f>F195*AO195</f>
        <v>0</v>
      </c>
      <c r="BI195" s="14">
        <f>F195*AP195</f>
        <v>0</v>
      </c>
      <c r="BJ195" s="14">
        <f>F195*G195</f>
        <v>0</v>
      </c>
      <c r="BK195" s="14"/>
      <c r="BL195" s="14">
        <v>95</v>
      </c>
      <c r="BW195" s="14">
        <v>21</v>
      </c>
      <c r="BX195" s="4" t="s">
        <v>608</v>
      </c>
    </row>
    <row r="196" spans="1:76" ht="52" x14ac:dyDescent="0.35">
      <c r="A196" s="57"/>
      <c r="B196" s="58" t="s">
        <v>190</v>
      </c>
      <c r="C196" s="154" t="s">
        <v>793</v>
      </c>
      <c r="D196" s="155"/>
      <c r="E196" s="155"/>
      <c r="F196" s="155"/>
      <c r="G196" s="156"/>
      <c r="H196" s="155"/>
      <c r="I196" s="155"/>
      <c r="J196" s="157"/>
      <c r="BX196" s="59" t="s">
        <v>609</v>
      </c>
    </row>
    <row r="197" spans="1:76" ht="14.5" x14ac:dyDescent="0.35">
      <c r="A197" s="1" t="s">
        <v>610</v>
      </c>
      <c r="B197" s="2" t="s">
        <v>611</v>
      </c>
      <c r="C197" s="81" t="s">
        <v>772</v>
      </c>
      <c r="D197" s="75"/>
      <c r="E197" s="2" t="s">
        <v>215</v>
      </c>
      <c r="F197" s="14">
        <v>1</v>
      </c>
      <c r="G197" s="55">
        <v>0</v>
      </c>
      <c r="H197" s="14">
        <f>F197*AO197</f>
        <v>0</v>
      </c>
      <c r="I197" s="14">
        <f>F197*AP197</f>
        <v>0</v>
      </c>
      <c r="J197" s="56">
        <f>F197*G197</f>
        <v>0</v>
      </c>
      <c r="Z197" s="14">
        <f>IF(AQ197="5",BJ197,0)</f>
        <v>0</v>
      </c>
      <c r="AB197" s="14">
        <f>IF(AQ197="1",BH197,0)</f>
        <v>0</v>
      </c>
      <c r="AC197" s="14">
        <f>IF(AQ197="1",BI197,0)</f>
        <v>0</v>
      </c>
      <c r="AD197" s="14">
        <f>IF(AQ197="7",BH197,0)</f>
        <v>0</v>
      </c>
      <c r="AE197" s="14">
        <f>IF(AQ197="7",BI197,0)</f>
        <v>0</v>
      </c>
      <c r="AF197" s="14">
        <f>IF(AQ197="2",BH197,0)</f>
        <v>0</v>
      </c>
      <c r="AG197" s="14">
        <f>IF(AQ197="2",BI197,0)</f>
        <v>0</v>
      </c>
      <c r="AH197" s="14">
        <f>IF(AQ197="0",BJ197,0)</f>
        <v>0</v>
      </c>
      <c r="AI197" s="43" t="s">
        <v>19</v>
      </c>
      <c r="AJ197" s="14">
        <f>IF(AN197=0,J197,0)</f>
        <v>0</v>
      </c>
      <c r="AK197" s="14">
        <f>IF(AN197=12,J197,0)</f>
        <v>0</v>
      </c>
      <c r="AL197" s="14">
        <f>IF(AN197=21,J197,0)</f>
        <v>0</v>
      </c>
      <c r="AN197" s="14">
        <v>21</v>
      </c>
      <c r="AO197" s="14">
        <f>G197*1</f>
        <v>0</v>
      </c>
      <c r="AP197" s="14">
        <f>G197*(1-1)</f>
        <v>0</v>
      </c>
      <c r="AQ197" s="13" t="s">
        <v>176</v>
      </c>
      <c r="AV197" s="14">
        <f>AW197+AX197</f>
        <v>0</v>
      </c>
      <c r="AW197" s="14">
        <f>F197*AO197</f>
        <v>0</v>
      </c>
      <c r="AX197" s="14">
        <f>F197*AP197</f>
        <v>0</v>
      </c>
      <c r="AY197" s="13" t="s">
        <v>588</v>
      </c>
      <c r="AZ197" s="13" t="s">
        <v>584</v>
      </c>
      <c r="BA197" s="43" t="s">
        <v>182</v>
      </c>
      <c r="BC197" s="14">
        <f>AW197+AX197</f>
        <v>0</v>
      </c>
      <c r="BD197" s="14">
        <f>G197/(100-BE197)*100</f>
        <v>0</v>
      </c>
      <c r="BE197" s="14">
        <v>0</v>
      </c>
      <c r="BF197" s="14">
        <f>197</f>
        <v>197</v>
      </c>
      <c r="BH197" s="14">
        <f>F197*AO197</f>
        <v>0</v>
      </c>
      <c r="BI197" s="14">
        <f>F197*AP197</f>
        <v>0</v>
      </c>
      <c r="BJ197" s="14">
        <f>F197*G197</f>
        <v>0</v>
      </c>
      <c r="BK197" s="14"/>
      <c r="BL197" s="14">
        <v>95</v>
      </c>
      <c r="BW197" s="14">
        <v>21</v>
      </c>
      <c r="BX197" s="4" t="s">
        <v>612</v>
      </c>
    </row>
    <row r="198" spans="1:76" ht="52" x14ac:dyDescent="0.35">
      <c r="A198" s="57"/>
      <c r="B198" s="58" t="s">
        <v>190</v>
      </c>
      <c r="C198" s="154" t="s">
        <v>794</v>
      </c>
      <c r="D198" s="155"/>
      <c r="E198" s="155"/>
      <c r="F198" s="155"/>
      <c r="G198" s="156"/>
      <c r="H198" s="155"/>
      <c r="I198" s="155"/>
      <c r="J198" s="157"/>
      <c r="BX198" s="59" t="s">
        <v>613</v>
      </c>
    </row>
    <row r="199" spans="1:76" ht="14.5" x14ac:dyDescent="0.35">
      <c r="A199" s="60" t="s">
        <v>19</v>
      </c>
      <c r="B199" s="61" t="s">
        <v>63</v>
      </c>
      <c r="C199" s="165" t="s">
        <v>64</v>
      </c>
      <c r="D199" s="166"/>
      <c r="E199" s="62" t="s">
        <v>3</v>
      </c>
      <c r="F199" s="62" t="s">
        <v>3</v>
      </c>
      <c r="G199" s="69" t="s">
        <v>3</v>
      </c>
      <c r="H199" s="38">
        <f>SUM(H200:H210)</f>
        <v>0</v>
      </c>
      <c r="I199" s="38">
        <f>SUM(I200:I210)</f>
        <v>0</v>
      </c>
      <c r="J199" s="64">
        <f>SUM(J200:J210)</f>
        <v>0</v>
      </c>
      <c r="AI199" s="43" t="s">
        <v>19</v>
      </c>
      <c r="AS199" s="38">
        <f>SUM(AJ200:AJ210)</f>
        <v>0</v>
      </c>
      <c r="AT199" s="38">
        <f>SUM(AK200:AK210)</f>
        <v>0</v>
      </c>
      <c r="AU199" s="38">
        <f>SUM(AL200:AL210)</f>
        <v>0</v>
      </c>
    </row>
    <row r="200" spans="1:76" ht="14.5" x14ac:dyDescent="0.35">
      <c r="A200" s="1" t="s">
        <v>614</v>
      </c>
      <c r="B200" s="2" t="s">
        <v>615</v>
      </c>
      <c r="C200" s="81" t="s">
        <v>616</v>
      </c>
      <c r="D200" s="75"/>
      <c r="E200" s="2" t="s">
        <v>203</v>
      </c>
      <c r="F200" s="14">
        <v>21.42</v>
      </c>
      <c r="G200" s="55">
        <v>0</v>
      </c>
      <c r="H200" s="14">
        <f>F200*AO200</f>
        <v>0</v>
      </c>
      <c r="I200" s="14">
        <f>F200*AP200</f>
        <v>0</v>
      </c>
      <c r="J200" s="56">
        <f>F200*G200</f>
        <v>0</v>
      </c>
      <c r="Z200" s="14">
        <f>IF(AQ200="5",BJ200,0)</f>
        <v>0</v>
      </c>
      <c r="AB200" s="14">
        <f>IF(AQ200="1",BH200,0)</f>
        <v>0</v>
      </c>
      <c r="AC200" s="14">
        <f>IF(AQ200="1",BI200,0)</f>
        <v>0</v>
      </c>
      <c r="AD200" s="14">
        <f>IF(AQ200="7",BH200,0)</f>
        <v>0</v>
      </c>
      <c r="AE200" s="14">
        <f>IF(AQ200="7",BI200,0)</f>
        <v>0</v>
      </c>
      <c r="AF200" s="14">
        <f>IF(AQ200="2",BH200,0)</f>
        <v>0</v>
      </c>
      <c r="AG200" s="14">
        <f>IF(AQ200="2",BI200,0)</f>
        <v>0</v>
      </c>
      <c r="AH200" s="14">
        <f>IF(AQ200="0",BJ200,0)</f>
        <v>0</v>
      </c>
      <c r="AI200" s="43" t="s">
        <v>19</v>
      </c>
      <c r="AJ200" s="14">
        <f>IF(AN200=0,J200,0)</f>
        <v>0</v>
      </c>
      <c r="AK200" s="14">
        <f>IF(AN200=12,J200,0)</f>
        <v>0</v>
      </c>
      <c r="AL200" s="14">
        <f>IF(AN200=21,J200,0)</f>
        <v>0</v>
      </c>
      <c r="AN200" s="14">
        <v>21</v>
      </c>
      <c r="AO200" s="14">
        <f>G200*0</f>
        <v>0</v>
      </c>
      <c r="AP200" s="14">
        <f>G200*(1-0)</f>
        <v>0</v>
      </c>
      <c r="AQ200" s="13" t="s">
        <v>176</v>
      </c>
      <c r="AV200" s="14">
        <f>AW200+AX200</f>
        <v>0</v>
      </c>
      <c r="AW200" s="14">
        <f>F200*AO200</f>
        <v>0</v>
      </c>
      <c r="AX200" s="14">
        <f>F200*AP200</f>
        <v>0</v>
      </c>
      <c r="AY200" s="13" t="s">
        <v>617</v>
      </c>
      <c r="AZ200" s="13" t="s">
        <v>584</v>
      </c>
      <c r="BA200" s="43" t="s">
        <v>182</v>
      </c>
      <c r="BC200" s="14">
        <f>AW200+AX200</f>
        <v>0</v>
      </c>
      <c r="BD200" s="14">
        <f>G200/(100-BE200)*100</f>
        <v>0</v>
      </c>
      <c r="BE200" s="14">
        <v>0</v>
      </c>
      <c r="BF200" s="14">
        <f>200</f>
        <v>200</v>
      </c>
      <c r="BH200" s="14">
        <f>F200*AO200</f>
        <v>0</v>
      </c>
      <c r="BI200" s="14">
        <f>F200*AP200</f>
        <v>0</v>
      </c>
      <c r="BJ200" s="14">
        <f>F200*G200</f>
        <v>0</v>
      </c>
      <c r="BK200" s="14"/>
      <c r="BL200" s="14">
        <v>96</v>
      </c>
      <c r="BW200" s="14">
        <v>21</v>
      </c>
      <c r="BX200" s="4" t="s">
        <v>616</v>
      </c>
    </row>
    <row r="201" spans="1:76" ht="14.5" x14ac:dyDescent="0.35">
      <c r="A201" s="57"/>
      <c r="B201" s="58" t="s">
        <v>190</v>
      </c>
      <c r="C201" s="154" t="s">
        <v>618</v>
      </c>
      <c r="D201" s="155"/>
      <c r="E201" s="155"/>
      <c r="F201" s="155"/>
      <c r="G201" s="156"/>
      <c r="H201" s="155"/>
      <c r="I201" s="155"/>
      <c r="J201" s="157"/>
      <c r="BX201" s="59" t="s">
        <v>618</v>
      </c>
    </row>
    <row r="202" spans="1:76" ht="14.5" x14ac:dyDescent="0.35">
      <c r="A202" s="1" t="s">
        <v>619</v>
      </c>
      <c r="B202" s="2" t="s">
        <v>620</v>
      </c>
      <c r="C202" s="81" t="s">
        <v>621</v>
      </c>
      <c r="D202" s="75"/>
      <c r="E202" s="2" t="s">
        <v>215</v>
      </c>
      <c r="F202" s="14">
        <v>6</v>
      </c>
      <c r="G202" s="55">
        <v>0</v>
      </c>
      <c r="H202" s="14">
        <f>F202*AO202</f>
        <v>0</v>
      </c>
      <c r="I202" s="14">
        <f>F202*AP202</f>
        <v>0</v>
      </c>
      <c r="J202" s="56">
        <f>F202*G202</f>
        <v>0</v>
      </c>
      <c r="Z202" s="14">
        <f>IF(AQ202="5",BJ202,0)</f>
        <v>0</v>
      </c>
      <c r="AB202" s="14">
        <f>IF(AQ202="1",BH202,0)</f>
        <v>0</v>
      </c>
      <c r="AC202" s="14">
        <f>IF(AQ202="1",BI202,0)</f>
        <v>0</v>
      </c>
      <c r="AD202" s="14">
        <f>IF(AQ202="7",BH202,0)</f>
        <v>0</v>
      </c>
      <c r="AE202" s="14">
        <f>IF(AQ202="7",BI202,0)</f>
        <v>0</v>
      </c>
      <c r="AF202" s="14">
        <f>IF(AQ202="2",BH202,0)</f>
        <v>0</v>
      </c>
      <c r="AG202" s="14">
        <f>IF(AQ202="2",BI202,0)</f>
        <v>0</v>
      </c>
      <c r="AH202" s="14">
        <f>IF(AQ202="0",BJ202,0)</f>
        <v>0</v>
      </c>
      <c r="AI202" s="43" t="s">
        <v>19</v>
      </c>
      <c r="AJ202" s="14">
        <f>IF(AN202=0,J202,0)</f>
        <v>0</v>
      </c>
      <c r="AK202" s="14">
        <f>IF(AN202=12,J202,0)</f>
        <v>0</v>
      </c>
      <c r="AL202" s="14">
        <f>IF(AN202=21,J202,0)</f>
        <v>0</v>
      </c>
      <c r="AN202" s="14">
        <v>21</v>
      </c>
      <c r="AO202" s="14">
        <f>G202*0</f>
        <v>0</v>
      </c>
      <c r="AP202" s="14">
        <f>G202*(1-0)</f>
        <v>0</v>
      </c>
      <c r="AQ202" s="13" t="s">
        <v>176</v>
      </c>
      <c r="AV202" s="14">
        <f>AW202+AX202</f>
        <v>0</v>
      </c>
      <c r="AW202" s="14">
        <f>F202*AO202</f>
        <v>0</v>
      </c>
      <c r="AX202" s="14">
        <f>F202*AP202</f>
        <v>0</v>
      </c>
      <c r="AY202" s="13" t="s">
        <v>617</v>
      </c>
      <c r="AZ202" s="13" t="s">
        <v>584</v>
      </c>
      <c r="BA202" s="43" t="s">
        <v>182</v>
      </c>
      <c r="BC202" s="14">
        <f>AW202+AX202</f>
        <v>0</v>
      </c>
      <c r="BD202" s="14">
        <f>G202/(100-BE202)*100</f>
        <v>0</v>
      </c>
      <c r="BE202" s="14">
        <v>0</v>
      </c>
      <c r="BF202" s="14">
        <f>202</f>
        <v>202</v>
      </c>
      <c r="BH202" s="14">
        <f>F202*AO202</f>
        <v>0</v>
      </c>
      <c r="BI202" s="14">
        <f>F202*AP202</f>
        <v>0</v>
      </c>
      <c r="BJ202" s="14">
        <f>F202*G202</f>
        <v>0</v>
      </c>
      <c r="BK202" s="14"/>
      <c r="BL202" s="14">
        <v>96</v>
      </c>
      <c r="BW202" s="14">
        <v>21</v>
      </c>
      <c r="BX202" s="4" t="s">
        <v>621</v>
      </c>
    </row>
    <row r="203" spans="1:76" ht="14.5" x14ac:dyDescent="0.35">
      <c r="A203" s="57"/>
      <c r="B203" s="58" t="s">
        <v>190</v>
      </c>
      <c r="C203" s="154" t="s">
        <v>622</v>
      </c>
      <c r="D203" s="155"/>
      <c r="E203" s="155"/>
      <c r="F203" s="155"/>
      <c r="G203" s="156"/>
      <c r="H203" s="155"/>
      <c r="I203" s="155"/>
      <c r="J203" s="157"/>
      <c r="BX203" s="59" t="s">
        <v>622</v>
      </c>
    </row>
    <row r="204" spans="1:76" ht="14.5" x14ac:dyDescent="0.35">
      <c r="A204" s="1" t="s">
        <v>623</v>
      </c>
      <c r="B204" s="2" t="s">
        <v>624</v>
      </c>
      <c r="C204" s="81" t="s">
        <v>625</v>
      </c>
      <c r="D204" s="75"/>
      <c r="E204" s="2" t="s">
        <v>203</v>
      </c>
      <c r="F204" s="14">
        <v>4.3339999999999996</v>
      </c>
      <c r="G204" s="55">
        <v>0</v>
      </c>
      <c r="H204" s="14">
        <f>F204*AO204</f>
        <v>0</v>
      </c>
      <c r="I204" s="14">
        <f>F204*AP204</f>
        <v>0</v>
      </c>
      <c r="J204" s="56">
        <f>F204*G204</f>
        <v>0</v>
      </c>
      <c r="Z204" s="14">
        <f>IF(AQ204="5",BJ204,0)</f>
        <v>0</v>
      </c>
      <c r="AB204" s="14">
        <f>IF(AQ204="1",BH204,0)</f>
        <v>0</v>
      </c>
      <c r="AC204" s="14">
        <f>IF(AQ204="1",BI204,0)</f>
        <v>0</v>
      </c>
      <c r="AD204" s="14">
        <f>IF(AQ204="7",BH204,0)</f>
        <v>0</v>
      </c>
      <c r="AE204" s="14">
        <f>IF(AQ204="7",BI204,0)</f>
        <v>0</v>
      </c>
      <c r="AF204" s="14">
        <f>IF(AQ204="2",BH204,0)</f>
        <v>0</v>
      </c>
      <c r="AG204" s="14">
        <f>IF(AQ204="2",BI204,0)</f>
        <v>0</v>
      </c>
      <c r="AH204" s="14">
        <f>IF(AQ204="0",BJ204,0)</f>
        <v>0</v>
      </c>
      <c r="AI204" s="43" t="s">
        <v>19</v>
      </c>
      <c r="AJ204" s="14">
        <f>IF(AN204=0,J204,0)</f>
        <v>0</v>
      </c>
      <c r="AK204" s="14">
        <f>IF(AN204=12,J204,0)</f>
        <v>0</v>
      </c>
      <c r="AL204" s="14">
        <f>IF(AN204=21,J204,0)</f>
        <v>0</v>
      </c>
      <c r="AN204" s="14">
        <v>21</v>
      </c>
      <c r="AO204" s="14">
        <f>G204*0.073406651</f>
        <v>0</v>
      </c>
      <c r="AP204" s="14">
        <f>G204*(1-0.073406651)</f>
        <v>0</v>
      </c>
      <c r="AQ204" s="13" t="s">
        <v>176</v>
      </c>
      <c r="AV204" s="14">
        <f>AW204+AX204</f>
        <v>0</v>
      </c>
      <c r="AW204" s="14">
        <f>F204*AO204</f>
        <v>0</v>
      </c>
      <c r="AX204" s="14">
        <f>F204*AP204</f>
        <v>0</v>
      </c>
      <c r="AY204" s="13" t="s">
        <v>617</v>
      </c>
      <c r="AZ204" s="13" t="s">
        <v>584</v>
      </c>
      <c r="BA204" s="43" t="s">
        <v>182</v>
      </c>
      <c r="BC204" s="14">
        <f>AW204+AX204</f>
        <v>0</v>
      </c>
      <c r="BD204" s="14">
        <f>G204/(100-BE204)*100</f>
        <v>0</v>
      </c>
      <c r="BE204" s="14">
        <v>0</v>
      </c>
      <c r="BF204" s="14">
        <f>204</f>
        <v>204</v>
      </c>
      <c r="BH204" s="14">
        <f>F204*AO204</f>
        <v>0</v>
      </c>
      <c r="BI204" s="14">
        <f>F204*AP204</f>
        <v>0</v>
      </c>
      <c r="BJ204" s="14">
        <f>F204*G204</f>
        <v>0</v>
      </c>
      <c r="BK204" s="14"/>
      <c r="BL204" s="14">
        <v>96</v>
      </c>
      <c r="BW204" s="14">
        <v>21</v>
      </c>
      <c r="BX204" s="4" t="s">
        <v>625</v>
      </c>
    </row>
    <row r="205" spans="1:76" ht="26" x14ac:dyDescent="0.35">
      <c r="A205" s="57"/>
      <c r="B205" s="58" t="s">
        <v>190</v>
      </c>
      <c r="C205" s="154" t="s">
        <v>626</v>
      </c>
      <c r="D205" s="155"/>
      <c r="E205" s="155"/>
      <c r="F205" s="155"/>
      <c r="G205" s="156"/>
      <c r="H205" s="155"/>
      <c r="I205" s="155"/>
      <c r="J205" s="157"/>
      <c r="BX205" s="59" t="s">
        <v>626</v>
      </c>
    </row>
    <row r="206" spans="1:76" ht="14.5" x14ac:dyDescent="0.35">
      <c r="A206" s="1" t="s">
        <v>627</v>
      </c>
      <c r="B206" s="2" t="s">
        <v>628</v>
      </c>
      <c r="C206" s="81" t="s">
        <v>629</v>
      </c>
      <c r="D206" s="75"/>
      <c r="E206" s="2" t="s">
        <v>203</v>
      </c>
      <c r="F206" s="14">
        <v>60.77</v>
      </c>
      <c r="G206" s="55">
        <v>0</v>
      </c>
      <c r="H206" s="14">
        <f>F206*AO206</f>
        <v>0</v>
      </c>
      <c r="I206" s="14">
        <f>F206*AP206</f>
        <v>0</v>
      </c>
      <c r="J206" s="56">
        <f>F206*G206</f>
        <v>0</v>
      </c>
      <c r="Z206" s="14">
        <f>IF(AQ206="5",BJ206,0)</f>
        <v>0</v>
      </c>
      <c r="AB206" s="14">
        <f>IF(AQ206="1",BH206,0)</f>
        <v>0</v>
      </c>
      <c r="AC206" s="14">
        <f>IF(AQ206="1",BI206,0)</f>
        <v>0</v>
      </c>
      <c r="AD206" s="14">
        <f>IF(AQ206="7",BH206,0)</f>
        <v>0</v>
      </c>
      <c r="AE206" s="14">
        <f>IF(AQ206="7",BI206,0)</f>
        <v>0</v>
      </c>
      <c r="AF206" s="14">
        <f>IF(AQ206="2",BH206,0)</f>
        <v>0</v>
      </c>
      <c r="AG206" s="14">
        <f>IF(AQ206="2",BI206,0)</f>
        <v>0</v>
      </c>
      <c r="AH206" s="14">
        <f>IF(AQ206="0",BJ206,0)</f>
        <v>0</v>
      </c>
      <c r="AI206" s="43" t="s">
        <v>19</v>
      </c>
      <c r="AJ206" s="14">
        <f>IF(AN206=0,J206,0)</f>
        <v>0</v>
      </c>
      <c r="AK206" s="14">
        <f>IF(AN206=12,J206,0)</f>
        <v>0</v>
      </c>
      <c r="AL206" s="14">
        <f>IF(AN206=21,J206,0)</f>
        <v>0</v>
      </c>
      <c r="AN206" s="14">
        <v>21</v>
      </c>
      <c r="AO206" s="14">
        <f>G206*0.03459364</f>
        <v>0</v>
      </c>
      <c r="AP206" s="14">
        <f>G206*(1-0.03459364)</f>
        <v>0</v>
      </c>
      <c r="AQ206" s="13" t="s">
        <v>176</v>
      </c>
      <c r="AV206" s="14">
        <f>AW206+AX206</f>
        <v>0</v>
      </c>
      <c r="AW206" s="14">
        <f>F206*AO206</f>
        <v>0</v>
      </c>
      <c r="AX206" s="14">
        <f>F206*AP206</f>
        <v>0</v>
      </c>
      <c r="AY206" s="13" t="s">
        <v>617</v>
      </c>
      <c r="AZ206" s="13" t="s">
        <v>584</v>
      </c>
      <c r="BA206" s="43" t="s">
        <v>182</v>
      </c>
      <c r="BC206" s="14">
        <f>AW206+AX206</f>
        <v>0</v>
      </c>
      <c r="BD206" s="14">
        <f>G206/(100-BE206)*100</f>
        <v>0</v>
      </c>
      <c r="BE206" s="14">
        <v>0</v>
      </c>
      <c r="BF206" s="14">
        <f>206</f>
        <v>206</v>
      </c>
      <c r="BH206" s="14">
        <f>F206*AO206</f>
        <v>0</v>
      </c>
      <c r="BI206" s="14">
        <f>F206*AP206</f>
        <v>0</v>
      </c>
      <c r="BJ206" s="14">
        <f>F206*G206</f>
        <v>0</v>
      </c>
      <c r="BK206" s="14"/>
      <c r="BL206" s="14">
        <v>96</v>
      </c>
      <c r="BW206" s="14">
        <v>21</v>
      </c>
      <c r="BX206" s="4" t="s">
        <v>629</v>
      </c>
    </row>
    <row r="207" spans="1:76" ht="14.5" x14ac:dyDescent="0.35">
      <c r="A207" s="57"/>
      <c r="B207" s="58" t="s">
        <v>190</v>
      </c>
      <c r="C207" s="154" t="s">
        <v>630</v>
      </c>
      <c r="D207" s="155"/>
      <c r="E207" s="155"/>
      <c r="F207" s="155"/>
      <c r="G207" s="156"/>
      <c r="H207" s="155"/>
      <c r="I207" s="155"/>
      <c r="J207" s="157"/>
      <c r="BX207" s="59" t="s">
        <v>630</v>
      </c>
    </row>
    <row r="208" spans="1:76" ht="14.5" x14ac:dyDescent="0.35">
      <c r="A208" s="1" t="s">
        <v>631</v>
      </c>
      <c r="B208" s="2" t="s">
        <v>632</v>
      </c>
      <c r="C208" s="81" t="s">
        <v>633</v>
      </c>
      <c r="D208" s="75"/>
      <c r="E208" s="2" t="s">
        <v>203</v>
      </c>
      <c r="F208" s="14">
        <v>1.4775</v>
      </c>
      <c r="G208" s="55">
        <v>0</v>
      </c>
      <c r="H208" s="14">
        <f>F208*AO208</f>
        <v>0</v>
      </c>
      <c r="I208" s="14">
        <f>F208*AP208</f>
        <v>0</v>
      </c>
      <c r="J208" s="56">
        <f>F208*G208</f>
        <v>0</v>
      </c>
      <c r="Z208" s="14">
        <f>IF(AQ208="5",BJ208,0)</f>
        <v>0</v>
      </c>
      <c r="AB208" s="14">
        <f>IF(AQ208="1",BH208,0)</f>
        <v>0</v>
      </c>
      <c r="AC208" s="14">
        <f>IF(AQ208="1",BI208,0)</f>
        <v>0</v>
      </c>
      <c r="AD208" s="14">
        <f>IF(AQ208="7",BH208,0)</f>
        <v>0</v>
      </c>
      <c r="AE208" s="14">
        <f>IF(AQ208="7",BI208,0)</f>
        <v>0</v>
      </c>
      <c r="AF208" s="14">
        <f>IF(AQ208="2",BH208,0)</f>
        <v>0</v>
      </c>
      <c r="AG208" s="14">
        <f>IF(AQ208="2",BI208,0)</f>
        <v>0</v>
      </c>
      <c r="AH208" s="14">
        <f>IF(AQ208="0",BJ208,0)</f>
        <v>0</v>
      </c>
      <c r="AI208" s="43" t="s">
        <v>19</v>
      </c>
      <c r="AJ208" s="14">
        <f>IF(AN208=0,J208,0)</f>
        <v>0</v>
      </c>
      <c r="AK208" s="14">
        <f>IF(AN208=12,J208,0)</f>
        <v>0</v>
      </c>
      <c r="AL208" s="14">
        <f>IF(AN208=21,J208,0)</f>
        <v>0</v>
      </c>
      <c r="AN208" s="14">
        <v>21</v>
      </c>
      <c r="AO208" s="14">
        <f>G208*0.108183829</f>
        <v>0</v>
      </c>
      <c r="AP208" s="14">
        <f>G208*(1-0.108183829)</f>
        <v>0</v>
      </c>
      <c r="AQ208" s="13" t="s">
        <v>176</v>
      </c>
      <c r="AV208" s="14">
        <f>AW208+AX208</f>
        <v>0</v>
      </c>
      <c r="AW208" s="14">
        <f>F208*AO208</f>
        <v>0</v>
      </c>
      <c r="AX208" s="14">
        <f>F208*AP208</f>
        <v>0</v>
      </c>
      <c r="AY208" s="13" t="s">
        <v>617</v>
      </c>
      <c r="AZ208" s="13" t="s">
        <v>584</v>
      </c>
      <c r="BA208" s="43" t="s">
        <v>182</v>
      </c>
      <c r="BC208" s="14">
        <f>AW208+AX208</f>
        <v>0</v>
      </c>
      <c r="BD208" s="14">
        <f>G208/(100-BE208)*100</f>
        <v>0</v>
      </c>
      <c r="BE208" s="14">
        <v>0</v>
      </c>
      <c r="BF208" s="14">
        <f>208</f>
        <v>208</v>
      </c>
      <c r="BH208" s="14">
        <f>F208*AO208</f>
        <v>0</v>
      </c>
      <c r="BI208" s="14">
        <f>F208*AP208</f>
        <v>0</v>
      </c>
      <c r="BJ208" s="14">
        <f>F208*G208</f>
        <v>0</v>
      </c>
      <c r="BK208" s="14"/>
      <c r="BL208" s="14">
        <v>96</v>
      </c>
      <c r="BW208" s="14">
        <v>21</v>
      </c>
      <c r="BX208" s="4" t="s">
        <v>633</v>
      </c>
    </row>
    <row r="209" spans="1:76" ht="26" x14ac:dyDescent="0.35">
      <c r="A209" s="57"/>
      <c r="B209" s="58" t="s">
        <v>190</v>
      </c>
      <c r="C209" s="154" t="s">
        <v>634</v>
      </c>
      <c r="D209" s="155"/>
      <c r="E209" s="155"/>
      <c r="F209" s="155"/>
      <c r="G209" s="156"/>
      <c r="H209" s="155"/>
      <c r="I209" s="155"/>
      <c r="J209" s="157"/>
      <c r="BX209" s="59" t="s">
        <v>634</v>
      </c>
    </row>
    <row r="210" spans="1:76" ht="14.5" x14ac:dyDescent="0.35">
      <c r="A210" s="1" t="s">
        <v>635</v>
      </c>
      <c r="B210" s="2" t="s">
        <v>636</v>
      </c>
      <c r="C210" s="81" t="s">
        <v>637</v>
      </c>
      <c r="D210" s="75"/>
      <c r="E210" s="2" t="s">
        <v>203</v>
      </c>
      <c r="F210" s="14">
        <v>10.029999999999999</v>
      </c>
      <c r="G210" s="55">
        <v>0</v>
      </c>
      <c r="H210" s="14">
        <f>F210*AO210</f>
        <v>0</v>
      </c>
      <c r="I210" s="14">
        <f>F210*AP210</f>
        <v>0</v>
      </c>
      <c r="J210" s="56">
        <f>F210*G210</f>
        <v>0</v>
      </c>
      <c r="Z210" s="14">
        <f>IF(AQ210="5",BJ210,0)</f>
        <v>0</v>
      </c>
      <c r="AB210" s="14">
        <f>IF(AQ210="1",BH210,0)</f>
        <v>0</v>
      </c>
      <c r="AC210" s="14">
        <f>IF(AQ210="1",BI210,0)</f>
        <v>0</v>
      </c>
      <c r="AD210" s="14">
        <f>IF(AQ210="7",BH210,0)</f>
        <v>0</v>
      </c>
      <c r="AE210" s="14">
        <f>IF(AQ210="7",BI210,0)</f>
        <v>0</v>
      </c>
      <c r="AF210" s="14">
        <f>IF(AQ210="2",BH210,0)</f>
        <v>0</v>
      </c>
      <c r="AG210" s="14">
        <f>IF(AQ210="2",BI210,0)</f>
        <v>0</v>
      </c>
      <c r="AH210" s="14">
        <f>IF(AQ210="0",BJ210,0)</f>
        <v>0</v>
      </c>
      <c r="AI210" s="43" t="s">
        <v>19</v>
      </c>
      <c r="AJ210" s="14">
        <f>IF(AN210=0,J210,0)</f>
        <v>0</v>
      </c>
      <c r="AK210" s="14">
        <f>IF(AN210=12,J210,0)</f>
        <v>0</v>
      </c>
      <c r="AL210" s="14">
        <f>IF(AN210=21,J210,0)</f>
        <v>0</v>
      </c>
      <c r="AN210" s="14">
        <v>21</v>
      </c>
      <c r="AO210" s="14">
        <f>G210*0.142867647</f>
        <v>0</v>
      </c>
      <c r="AP210" s="14">
        <f>G210*(1-0.142867647)</f>
        <v>0</v>
      </c>
      <c r="AQ210" s="13" t="s">
        <v>176</v>
      </c>
      <c r="AV210" s="14">
        <f>AW210+AX210</f>
        <v>0</v>
      </c>
      <c r="AW210" s="14">
        <f>F210*AO210</f>
        <v>0</v>
      </c>
      <c r="AX210" s="14">
        <f>F210*AP210</f>
        <v>0</v>
      </c>
      <c r="AY210" s="13" t="s">
        <v>617</v>
      </c>
      <c r="AZ210" s="13" t="s">
        <v>584</v>
      </c>
      <c r="BA210" s="43" t="s">
        <v>182</v>
      </c>
      <c r="BC210" s="14">
        <f>AW210+AX210</f>
        <v>0</v>
      </c>
      <c r="BD210" s="14">
        <f>G210/(100-BE210)*100</f>
        <v>0</v>
      </c>
      <c r="BE210" s="14">
        <v>0</v>
      </c>
      <c r="BF210" s="14">
        <f>210</f>
        <v>210</v>
      </c>
      <c r="BH210" s="14">
        <f>F210*AO210</f>
        <v>0</v>
      </c>
      <c r="BI210" s="14">
        <f>F210*AP210</f>
        <v>0</v>
      </c>
      <c r="BJ210" s="14">
        <f>F210*G210</f>
        <v>0</v>
      </c>
      <c r="BK210" s="14"/>
      <c r="BL210" s="14">
        <v>96</v>
      </c>
      <c r="BW210" s="14">
        <v>21</v>
      </c>
      <c r="BX210" s="4" t="s">
        <v>637</v>
      </c>
    </row>
    <row r="211" spans="1:76" ht="14.5" x14ac:dyDescent="0.35">
      <c r="A211" s="60" t="s">
        <v>19</v>
      </c>
      <c r="B211" s="61" t="s">
        <v>65</v>
      </c>
      <c r="C211" s="165" t="s">
        <v>66</v>
      </c>
      <c r="D211" s="166"/>
      <c r="E211" s="62" t="s">
        <v>3</v>
      </c>
      <c r="F211" s="62" t="s">
        <v>3</v>
      </c>
      <c r="G211" s="63" t="s">
        <v>3</v>
      </c>
      <c r="H211" s="38">
        <f>SUM(H212:H218)</f>
        <v>0</v>
      </c>
      <c r="I211" s="38">
        <f>SUM(I212:I218)</f>
        <v>0</v>
      </c>
      <c r="J211" s="64">
        <f>SUM(J212:J218)</f>
        <v>0</v>
      </c>
      <c r="AI211" s="43" t="s">
        <v>19</v>
      </c>
      <c r="AS211" s="38">
        <f>SUM(AJ212:AJ218)</f>
        <v>0</v>
      </c>
      <c r="AT211" s="38">
        <f>SUM(AK212:AK218)</f>
        <v>0</v>
      </c>
      <c r="AU211" s="38">
        <f>SUM(AL212:AL218)</f>
        <v>0</v>
      </c>
    </row>
    <row r="212" spans="1:76" ht="14.5" x14ac:dyDescent="0.35">
      <c r="A212" s="1" t="s">
        <v>638</v>
      </c>
      <c r="B212" s="2" t="s">
        <v>639</v>
      </c>
      <c r="C212" s="81" t="s">
        <v>640</v>
      </c>
      <c r="D212" s="75"/>
      <c r="E212" s="2" t="s">
        <v>203</v>
      </c>
      <c r="F212" s="14">
        <v>71.17</v>
      </c>
      <c r="G212" s="55">
        <v>0</v>
      </c>
      <c r="H212" s="14">
        <f>F212*AO212</f>
        <v>0</v>
      </c>
      <c r="I212" s="14">
        <f>F212*AP212</f>
        <v>0</v>
      </c>
      <c r="J212" s="56">
        <f>F212*G212</f>
        <v>0</v>
      </c>
      <c r="Z212" s="14">
        <f>IF(AQ212="5",BJ212,0)</f>
        <v>0</v>
      </c>
      <c r="AB212" s="14">
        <f>IF(AQ212="1",BH212,0)</f>
        <v>0</v>
      </c>
      <c r="AC212" s="14">
        <f>IF(AQ212="1",BI212,0)</f>
        <v>0</v>
      </c>
      <c r="AD212" s="14">
        <f>IF(AQ212="7",BH212,0)</f>
        <v>0</v>
      </c>
      <c r="AE212" s="14">
        <f>IF(AQ212="7",BI212,0)</f>
        <v>0</v>
      </c>
      <c r="AF212" s="14">
        <f>IF(AQ212="2",BH212,0)</f>
        <v>0</v>
      </c>
      <c r="AG212" s="14">
        <f>IF(AQ212="2",BI212,0)</f>
        <v>0</v>
      </c>
      <c r="AH212" s="14">
        <f>IF(AQ212="0",BJ212,0)</f>
        <v>0</v>
      </c>
      <c r="AI212" s="43" t="s">
        <v>19</v>
      </c>
      <c r="AJ212" s="14">
        <f>IF(AN212=0,J212,0)</f>
        <v>0</v>
      </c>
      <c r="AK212" s="14">
        <f>IF(AN212=12,J212,0)</f>
        <v>0</v>
      </c>
      <c r="AL212" s="14">
        <f>IF(AN212=21,J212,0)</f>
        <v>0</v>
      </c>
      <c r="AN212" s="14">
        <v>21</v>
      </c>
      <c r="AO212" s="14">
        <f>G212*0</f>
        <v>0</v>
      </c>
      <c r="AP212" s="14">
        <f>G212*(1-0)</f>
        <v>0</v>
      </c>
      <c r="AQ212" s="13" t="s">
        <v>176</v>
      </c>
      <c r="AV212" s="14">
        <f>AW212+AX212</f>
        <v>0</v>
      </c>
      <c r="AW212" s="14">
        <f>F212*AO212</f>
        <v>0</v>
      </c>
      <c r="AX212" s="14">
        <f>F212*AP212</f>
        <v>0</v>
      </c>
      <c r="AY212" s="13" t="s">
        <v>641</v>
      </c>
      <c r="AZ212" s="13" t="s">
        <v>584</v>
      </c>
      <c r="BA212" s="43" t="s">
        <v>182</v>
      </c>
      <c r="BC212" s="14">
        <f>AW212+AX212</f>
        <v>0</v>
      </c>
      <c r="BD212" s="14">
        <f>G212/(100-BE212)*100</f>
        <v>0</v>
      </c>
      <c r="BE212" s="14">
        <v>0</v>
      </c>
      <c r="BF212" s="14">
        <f>212</f>
        <v>212</v>
      </c>
      <c r="BH212" s="14">
        <f>F212*AO212</f>
        <v>0</v>
      </c>
      <c r="BI212" s="14">
        <f>F212*AP212</f>
        <v>0</v>
      </c>
      <c r="BJ212" s="14">
        <f>F212*G212</f>
        <v>0</v>
      </c>
      <c r="BK212" s="14"/>
      <c r="BL212" s="14">
        <v>97</v>
      </c>
      <c r="BW212" s="14">
        <v>21</v>
      </c>
      <c r="BX212" s="4" t="s">
        <v>640</v>
      </c>
    </row>
    <row r="213" spans="1:76" ht="26" x14ac:dyDescent="0.35">
      <c r="A213" s="57"/>
      <c r="B213" s="58" t="s">
        <v>190</v>
      </c>
      <c r="C213" s="154" t="s">
        <v>642</v>
      </c>
      <c r="D213" s="155"/>
      <c r="E213" s="155"/>
      <c r="F213" s="155"/>
      <c r="G213" s="156"/>
      <c r="H213" s="155"/>
      <c r="I213" s="155"/>
      <c r="J213" s="157"/>
      <c r="BX213" s="59" t="s">
        <v>642</v>
      </c>
    </row>
    <row r="214" spans="1:76" ht="14.5" x14ac:dyDescent="0.35">
      <c r="A214" s="1" t="s">
        <v>643</v>
      </c>
      <c r="B214" s="2" t="s">
        <v>644</v>
      </c>
      <c r="C214" s="81" t="s">
        <v>645</v>
      </c>
      <c r="D214" s="75"/>
      <c r="E214" s="2" t="s">
        <v>203</v>
      </c>
      <c r="F214" s="14">
        <v>4.9370000000000003</v>
      </c>
      <c r="G214" s="55">
        <v>0</v>
      </c>
      <c r="H214" s="14">
        <f>F214*AO214</f>
        <v>0</v>
      </c>
      <c r="I214" s="14">
        <f>F214*AP214</f>
        <v>0</v>
      </c>
      <c r="J214" s="56">
        <f>F214*G214</f>
        <v>0</v>
      </c>
      <c r="Z214" s="14">
        <f>IF(AQ214="5",BJ214,0)</f>
        <v>0</v>
      </c>
      <c r="AB214" s="14">
        <f>IF(AQ214="1",BH214,0)</f>
        <v>0</v>
      </c>
      <c r="AC214" s="14">
        <f>IF(AQ214="1",BI214,0)</f>
        <v>0</v>
      </c>
      <c r="AD214" s="14">
        <f>IF(AQ214="7",BH214,0)</f>
        <v>0</v>
      </c>
      <c r="AE214" s="14">
        <f>IF(AQ214="7",BI214,0)</f>
        <v>0</v>
      </c>
      <c r="AF214" s="14">
        <f>IF(AQ214="2",BH214,0)</f>
        <v>0</v>
      </c>
      <c r="AG214" s="14">
        <f>IF(AQ214="2",BI214,0)</f>
        <v>0</v>
      </c>
      <c r="AH214" s="14">
        <f>IF(AQ214="0",BJ214,0)</f>
        <v>0</v>
      </c>
      <c r="AI214" s="43" t="s">
        <v>19</v>
      </c>
      <c r="AJ214" s="14">
        <f>IF(AN214=0,J214,0)</f>
        <v>0</v>
      </c>
      <c r="AK214" s="14">
        <f>IF(AN214=12,J214,0)</f>
        <v>0</v>
      </c>
      <c r="AL214" s="14">
        <f>IF(AN214=21,J214,0)</f>
        <v>0</v>
      </c>
      <c r="AN214" s="14">
        <v>21</v>
      </c>
      <c r="AO214" s="14">
        <f>G214*0.099558932</f>
        <v>0</v>
      </c>
      <c r="AP214" s="14">
        <f>G214*(1-0.099558932)</f>
        <v>0</v>
      </c>
      <c r="AQ214" s="13" t="s">
        <v>176</v>
      </c>
      <c r="AV214" s="14">
        <f>AW214+AX214</f>
        <v>0</v>
      </c>
      <c r="AW214" s="14">
        <f>F214*AO214</f>
        <v>0</v>
      </c>
      <c r="AX214" s="14">
        <f>F214*AP214</f>
        <v>0</v>
      </c>
      <c r="AY214" s="13" t="s">
        <v>641</v>
      </c>
      <c r="AZ214" s="13" t="s">
        <v>584</v>
      </c>
      <c r="BA214" s="43" t="s">
        <v>182</v>
      </c>
      <c r="BC214" s="14">
        <f>AW214+AX214</f>
        <v>0</v>
      </c>
      <c r="BD214" s="14">
        <f>G214/(100-BE214)*100</f>
        <v>0</v>
      </c>
      <c r="BE214" s="14">
        <v>0</v>
      </c>
      <c r="BF214" s="14">
        <f>214</f>
        <v>214</v>
      </c>
      <c r="BH214" s="14">
        <f>F214*AO214</f>
        <v>0</v>
      </c>
      <c r="BI214" s="14">
        <f>F214*AP214</f>
        <v>0</v>
      </c>
      <c r="BJ214" s="14">
        <f>F214*G214</f>
        <v>0</v>
      </c>
      <c r="BK214" s="14"/>
      <c r="BL214" s="14">
        <v>97</v>
      </c>
      <c r="BW214" s="14">
        <v>21</v>
      </c>
      <c r="BX214" s="4" t="s">
        <v>645</v>
      </c>
    </row>
    <row r="215" spans="1:76" ht="14.5" x14ac:dyDescent="0.35">
      <c r="A215" s="57"/>
      <c r="B215" s="58" t="s">
        <v>190</v>
      </c>
      <c r="C215" s="154" t="s">
        <v>646</v>
      </c>
      <c r="D215" s="155"/>
      <c r="E215" s="155"/>
      <c r="F215" s="155"/>
      <c r="G215" s="156"/>
      <c r="H215" s="155"/>
      <c r="I215" s="155"/>
      <c r="J215" s="157"/>
      <c r="BX215" s="59" t="s">
        <v>646</v>
      </c>
    </row>
    <row r="216" spans="1:76" ht="14.5" x14ac:dyDescent="0.35">
      <c r="A216" s="1" t="s">
        <v>647</v>
      </c>
      <c r="B216" s="2" t="s">
        <v>648</v>
      </c>
      <c r="C216" s="81" t="s">
        <v>649</v>
      </c>
      <c r="D216" s="75"/>
      <c r="E216" s="2" t="s">
        <v>232</v>
      </c>
      <c r="F216" s="14">
        <v>3.8</v>
      </c>
      <c r="G216" s="55">
        <v>0</v>
      </c>
      <c r="H216" s="14">
        <f>F216*AO216</f>
        <v>0</v>
      </c>
      <c r="I216" s="14">
        <f>F216*AP216</f>
        <v>0</v>
      </c>
      <c r="J216" s="56">
        <f>F216*G216</f>
        <v>0</v>
      </c>
      <c r="Z216" s="14">
        <f>IF(AQ216="5",BJ216,0)</f>
        <v>0</v>
      </c>
      <c r="AB216" s="14">
        <f>IF(AQ216="1",BH216,0)</f>
        <v>0</v>
      </c>
      <c r="AC216" s="14">
        <f>IF(AQ216="1",BI216,0)</f>
        <v>0</v>
      </c>
      <c r="AD216" s="14">
        <f>IF(AQ216="7",BH216,0)</f>
        <v>0</v>
      </c>
      <c r="AE216" s="14">
        <f>IF(AQ216="7",BI216,0)</f>
        <v>0</v>
      </c>
      <c r="AF216" s="14">
        <f>IF(AQ216="2",BH216,0)</f>
        <v>0</v>
      </c>
      <c r="AG216" s="14">
        <f>IF(AQ216="2",BI216,0)</f>
        <v>0</v>
      </c>
      <c r="AH216" s="14">
        <f>IF(AQ216="0",BJ216,0)</f>
        <v>0</v>
      </c>
      <c r="AI216" s="43" t="s">
        <v>19</v>
      </c>
      <c r="AJ216" s="14">
        <f>IF(AN216=0,J216,0)</f>
        <v>0</v>
      </c>
      <c r="AK216" s="14">
        <f>IF(AN216=12,J216,0)</f>
        <v>0</v>
      </c>
      <c r="AL216" s="14">
        <f>IF(AN216=21,J216,0)</f>
        <v>0</v>
      </c>
      <c r="AN216" s="14">
        <v>21</v>
      </c>
      <c r="AO216" s="14">
        <f>G216*0</f>
        <v>0</v>
      </c>
      <c r="AP216" s="14">
        <f>G216*(1-0)</f>
        <v>0</v>
      </c>
      <c r="AQ216" s="13" t="s">
        <v>176</v>
      </c>
      <c r="AV216" s="14">
        <f>AW216+AX216</f>
        <v>0</v>
      </c>
      <c r="AW216" s="14">
        <f>F216*AO216</f>
        <v>0</v>
      </c>
      <c r="AX216" s="14">
        <f>F216*AP216</f>
        <v>0</v>
      </c>
      <c r="AY216" s="13" t="s">
        <v>641</v>
      </c>
      <c r="AZ216" s="13" t="s">
        <v>584</v>
      </c>
      <c r="BA216" s="43" t="s">
        <v>182</v>
      </c>
      <c r="BC216" s="14">
        <f>AW216+AX216</f>
        <v>0</v>
      </c>
      <c r="BD216" s="14">
        <f>G216/(100-BE216)*100</f>
        <v>0</v>
      </c>
      <c r="BE216" s="14">
        <v>0</v>
      </c>
      <c r="BF216" s="14">
        <f>216</f>
        <v>216</v>
      </c>
      <c r="BH216" s="14">
        <f>F216*AO216</f>
        <v>0</v>
      </c>
      <c r="BI216" s="14">
        <f>F216*AP216</f>
        <v>0</v>
      </c>
      <c r="BJ216" s="14">
        <f>F216*G216</f>
        <v>0</v>
      </c>
      <c r="BK216" s="14"/>
      <c r="BL216" s="14">
        <v>97</v>
      </c>
      <c r="BW216" s="14">
        <v>21</v>
      </c>
      <c r="BX216" s="4" t="s">
        <v>649</v>
      </c>
    </row>
    <row r="217" spans="1:76" ht="14.5" x14ac:dyDescent="0.35">
      <c r="A217" s="57"/>
      <c r="B217" s="58" t="s">
        <v>190</v>
      </c>
      <c r="C217" s="154" t="s">
        <v>650</v>
      </c>
      <c r="D217" s="155"/>
      <c r="E217" s="155"/>
      <c r="F217" s="155"/>
      <c r="G217" s="156"/>
      <c r="H217" s="155"/>
      <c r="I217" s="155"/>
      <c r="J217" s="157"/>
      <c r="BX217" s="59" t="s">
        <v>650</v>
      </c>
    </row>
    <row r="218" spans="1:76" ht="14.5" x14ac:dyDescent="0.35">
      <c r="A218" s="1" t="s">
        <v>651</v>
      </c>
      <c r="B218" s="2" t="s">
        <v>652</v>
      </c>
      <c r="C218" s="81" t="s">
        <v>653</v>
      </c>
      <c r="D218" s="75"/>
      <c r="E218" s="2" t="s">
        <v>232</v>
      </c>
      <c r="F218" s="14">
        <v>13.6</v>
      </c>
      <c r="G218" s="55">
        <v>0</v>
      </c>
      <c r="H218" s="14">
        <f>F218*AO218</f>
        <v>0</v>
      </c>
      <c r="I218" s="14">
        <f>F218*AP218</f>
        <v>0</v>
      </c>
      <c r="J218" s="56">
        <f>F218*G218</f>
        <v>0</v>
      </c>
      <c r="Z218" s="14">
        <f>IF(AQ218="5",BJ218,0)</f>
        <v>0</v>
      </c>
      <c r="AB218" s="14">
        <f>IF(AQ218="1",BH218,0)</f>
        <v>0</v>
      </c>
      <c r="AC218" s="14">
        <f>IF(AQ218="1",BI218,0)</f>
        <v>0</v>
      </c>
      <c r="AD218" s="14">
        <f>IF(AQ218="7",BH218,0)</f>
        <v>0</v>
      </c>
      <c r="AE218" s="14">
        <f>IF(AQ218="7",BI218,0)</f>
        <v>0</v>
      </c>
      <c r="AF218" s="14">
        <f>IF(AQ218="2",BH218,0)</f>
        <v>0</v>
      </c>
      <c r="AG218" s="14">
        <f>IF(AQ218="2",BI218,0)</f>
        <v>0</v>
      </c>
      <c r="AH218" s="14">
        <f>IF(AQ218="0",BJ218,0)</f>
        <v>0</v>
      </c>
      <c r="AI218" s="43" t="s">
        <v>19</v>
      </c>
      <c r="AJ218" s="14">
        <f>IF(AN218=0,J218,0)</f>
        <v>0</v>
      </c>
      <c r="AK218" s="14">
        <f>IF(AN218=12,J218,0)</f>
        <v>0</v>
      </c>
      <c r="AL218" s="14">
        <f>IF(AN218=21,J218,0)</f>
        <v>0</v>
      </c>
      <c r="AN218" s="14">
        <v>21</v>
      </c>
      <c r="AO218" s="14">
        <f>G218*0.20898688</f>
        <v>0</v>
      </c>
      <c r="AP218" s="14">
        <f>G218*(1-0.20898688)</f>
        <v>0</v>
      </c>
      <c r="AQ218" s="13" t="s">
        <v>176</v>
      </c>
      <c r="AV218" s="14">
        <f>AW218+AX218</f>
        <v>0</v>
      </c>
      <c r="AW218" s="14">
        <f>F218*AO218</f>
        <v>0</v>
      </c>
      <c r="AX218" s="14">
        <f>F218*AP218</f>
        <v>0</v>
      </c>
      <c r="AY218" s="13" t="s">
        <v>641</v>
      </c>
      <c r="AZ218" s="13" t="s">
        <v>584</v>
      </c>
      <c r="BA218" s="43" t="s">
        <v>182</v>
      </c>
      <c r="BC218" s="14">
        <f>AW218+AX218</f>
        <v>0</v>
      </c>
      <c r="BD218" s="14">
        <f>G218/(100-BE218)*100</f>
        <v>0</v>
      </c>
      <c r="BE218" s="14">
        <v>0</v>
      </c>
      <c r="BF218" s="14">
        <f>218</f>
        <v>218</v>
      </c>
      <c r="BH218" s="14">
        <f>F218*AO218</f>
        <v>0</v>
      </c>
      <c r="BI218" s="14">
        <f>F218*AP218</f>
        <v>0</v>
      </c>
      <c r="BJ218" s="14">
        <f>F218*G218</f>
        <v>0</v>
      </c>
      <c r="BK218" s="14"/>
      <c r="BL218" s="14">
        <v>97</v>
      </c>
      <c r="BW218" s="14">
        <v>21</v>
      </c>
      <c r="BX218" s="4" t="s">
        <v>653</v>
      </c>
    </row>
    <row r="219" spans="1:76" ht="14.5" x14ac:dyDescent="0.35">
      <c r="A219" s="57"/>
      <c r="B219" s="58" t="s">
        <v>190</v>
      </c>
      <c r="C219" s="154" t="s">
        <v>654</v>
      </c>
      <c r="D219" s="155"/>
      <c r="E219" s="155"/>
      <c r="F219" s="155"/>
      <c r="G219" s="156"/>
      <c r="H219" s="155"/>
      <c r="I219" s="155"/>
      <c r="J219" s="157"/>
      <c r="BX219" s="59" t="s">
        <v>654</v>
      </c>
    </row>
    <row r="220" spans="1:76" ht="14.5" x14ac:dyDescent="0.35">
      <c r="A220" s="60" t="s">
        <v>19</v>
      </c>
      <c r="B220" s="61" t="s">
        <v>67</v>
      </c>
      <c r="C220" s="165" t="s">
        <v>68</v>
      </c>
      <c r="D220" s="166"/>
      <c r="E220" s="62" t="s">
        <v>3</v>
      </c>
      <c r="F220" s="62" t="s">
        <v>3</v>
      </c>
      <c r="G220" s="63" t="s">
        <v>3</v>
      </c>
      <c r="H220" s="38">
        <f>SUM(H221:H221)</f>
        <v>0</v>
      </c>
      <c r="I220" s="38">
        <f>SUM(I221:I221)</f>
        <v>0</v>
      </c>
      <c r="J220" s="64">
        <f>SUM(J221:J221)</f>
        <v>0</v>
      </c>
      <c r="AI220" s="43" t="s">
        <v>19</v>
      </c>
      <c r="AS220" s="38">
        <f>SUM(AJ221:AJ221)</f>
        <v>0</v>
      </c>
      <c r="AT220" s="38">
        <f>SUM(AK221:AK221)</f>
        <v>0</v>
      </c>
      <c r="AU220" s="38">
        <f>SUM(AL221:AL221)</f>
        <v>0</v>
      </c>
    </row>
    <row r="221" spans="1:76" ht="14.5" x14ac:dyDescent="0.35">
      <c r="A221" s="1" t="s">
        <v>655</v>
      </c>
      <c r="B221" s="2" t="s">
        <v>656</v>
      </c>
      <c r="C221" s="81" t="s">
        <v>657</v>
      </c>
      <c r="D221" s="75"/>
      <c r="E221" s="2" t="s">
        <v>658</v>
      </c>
      <c r="F221" s="14">
        <v>1</v>
      </c>
      <c r="G221" s="55">
        <v>0</v>
      </c>
      <c r="H221" s="14">
        <f>F221*AO221</f>
        <v>0</v>
      </c>
      <c r="I221" s="14">
        <f>F221*AP221</f>
        <v>0</v>
      </c>
      <c r="J221" s="56">
        <f>F221*G221</f>
        <v>0</v>
      </c>
      <c r="Z221" s="14">
        <f>IF(AQ221="5",BJ221,0)</f>
        <v>0</v>
      </c>
      <c r="AB221" s="14">
        <f>IF(AQ221="1",BH221,0)</f>
        <v>0</v>
      </c>
      <c r="AC221" s="14">
        <f>IF(AQ221="1",BI221,0)</f>
        <v>0</v>
      </c>
      <c r="AD221" s="14">
        <f>IF(AQ221="7",BH221,0)</f>
        <v>0</v>
      </c>
      <c r="AE221" s="14">
        <f>IF(AQ221="7",BI221,0)</f>
        <v>0</v>
      </c>
      <c r="AF221" s="14">
        <f>IF(AQ221="2",BH221,0)</f>
        <v>0</v>
      </c>
      <c r="AG221" s="14">
        <f>IF(AQ221="2",BI221,0)</f>
        <v>0</v>
      </c>
      <c r="AH221" s="14">
        <f>IF(AQ221="0",BJ221,0)</f>
        <v>0</v>
      </c>
      <c r="AI221" s="43" t="s">
        <v>19</v>
      </c>
      <c r="AJ221" s="14">
        <f>IF(AN221=0,J221,0)</f>
        <v>0</v>
      </c>
      <c r="AK221" s="14">
        <f>IF(AN221=12,J221,0)</f>
        <v>0</v>
      </c>
      <c r="AL221" s="14">
        <f>IF(AN221=21,J221,0)</f>
        <v>0</v>
      </c>
      <c r="AN221" s="14">
        <v>21</v>
      </c>
      <c r="AO221" s="14">
        <f>G221*0</f>
        <v>0</v>
      </c>
      <c r="AP221" s="14">
        <f>G221*(1-0)</f>
        <v>0</v>
      </c>
      <c r="AQ221" s="13" t="s">
        <v>196</v>
      </c>
      <c r="AV221" s="14">
        <f>AW221+AX221</f>
        <v>0</v>
      </c>
      <c r="AW221" s="14">
        <f>F221*AO221</f>
        <v>0</v>
      </c>
      <c r="AX221" s="14">
        <f>F221*AP221</f>
        <v>0</v>
      </c>
      <c r="AY221" s="13" t="s">
        <v>659</v>
      </c>
      <c r="AZ221" s="13" t="s">
        <v>584</v>
      </c>
      <c r="BA221" s="43" t="s">
        <v>182</v>
      </c>
      <c r="BC221" s="14">
        <f>AW221+AX221</f>
        <v>0</v>
      </c>
      <c r="BD221" s="14">
        <f>G221/(100-BE221)*100</f>
        <v>0</v>
      </c>
      <c r="BE221" s="14">
        <v>0</v>
      </c>
      <c r="BF221" s="14">
        <f>221</f>
        <v>221</v>
      </c>
      <c r="BH221" s="14">
        <f>F221*AO221</f>
        <v>0</v>
      </c>
      <c r="BI221" s="14">
        <f>F221*AP221</f>
        <v>0</v>
      </c>
      <c r="BJ221" s="14">
        <f>F221*G221</f>
        <v>0</v>
      </c>
      <c r="BK221" s="14"/>
      <c r="BL221" s="14"/>
      <c r="BW221" s="14">
        <v>21</v>
      </c>
      <c r="BX221" s="4" t="s">
        <v>657</v>
      </c>
    </row>
    <row r="222" spans="1:76" ht="14.5" x14ac:dyDescent="0.35">
      <c r="A222" s="60" t="s">
        <v>19</v>
      </c>
      <c r="B222" s="61" t="s">
        <v>69</v>
      </c>
      <c r="C222" s="165" t="s">
        <v>70</v>
      </c>
      <c r="D222" s="166"/>
      <c r="E222" s="62" t="s">
        <v>3</v>
      </c>
      <c r="F222" s="62" t="s">
        <v>3</v>
      </c>
      <c r="G222" s="63" t="s">
        <v>3</v>
      </c>
      <c r="H222" s="38">
        <f>SUM(H223:H223)</f>
        <v>0</v>
      </c>
      <c r="I222" s="38">
        <f>SUM(I223:I223)</f>
        <v>0</v>
      </c>
      <c r="J222" s="64">
        <f>SUM(J223:J223)</f>
        <v>0</v>
      </c>
      <c r="AI222" s="43" t="s">
        <v>19</v>
      </c>
      <c r="AS222" s="38">
        <f>SUM(AJ223:AJ223)</f>
        <v>0</v>
      </c>
      <c r="AT222" s="38">
        <f>SUM(AK223:AK223)</f>
        <v>0</v>
      </c>
      <c r="AU222" s="38">
        <f>SUM(AL223:AL223)</f>
        <v>0</v>
      </c>
    </row>
    <row r="223" spans="1:76" ht="14.5" x14ac:dyDescent="0.35">
      <c r="A223" s="1" t="s">
        <v>660</v>
      </c>
      <c r="B223" s="2" t="s">
        <v>661</v>
      </c>
      <c r="C223" s="81" t="s">
        <v>662</v>
      </c>
      <c r="D223" s="75"/>
      <c r="E223" s="2" t="s">
        <v>371</v>
      </c>
      <c r="F223" s="14">
        <v>1</v>
      </c>
      <c r="G223" s="55">
        <v>0</v>
      </c>
      <c r="H223" s="14">
        <f>F223*AO223</f>
        <v>0</v>
      </c>
      <c r="I223" s="14">
        <f>F223*AP223</f>
        <v>0</v>
      </c>
      <c r="J223" s="56">
        <f>F223*G223</f>
        <v>0</v>
      </c>
      <c r="Z223" s="14">
        <f>IF(AQ223="5",BJ223,0)</f>
        <v>0</v>
      </c>
      <c r="AB223" s="14">
        <f>IF(AQ223="1",BH223,0)</f>
        <v>0</v>
      </c>
      <c r="AC223" s="14">
        <f>IF(AQ223="1",BI223,0)</f>
        <v>0</v>
      </c>
      <c r="AD223" s="14">
        <f>IF(AQ223="7",BH223,0)</f>
        <v>0</v>
      </c>
      <c r="AE223" s="14">
        <f>IF(AQ223="7",BI223,0)</f>
        <v>0</v>
      </c>
      <c r="AF223" s="14">
        <f>IF(AQ223="2",BH223,0)</f>
        <v>0</v>
      </c>
      <c r="AG223" s="14">
        <f>IF(AQ223="2",BI223,0)</f>
        <v>0</v>
      </c>
      <c r="AH223" s="14">
        <f>IF(AQ223="0",BJ223,0)</f>
        <v>0</v>
      </c>
      <c r="AI223" s="43" t="s">
        <v>19</v>
      </c>
      <c r="AJ223" s="14">
        <f>IF(AN223=0,J223,0)</f>
        <v>0</v>
      </c>
      <c r="AK223" s="14">
        <f>IF(AN223=12,J223,0)</f>
        <v>0</v>
      </c>
      <c r="AL223" s="14">
        <f>IF(AN223=21,J223,0)</f>
        <v>0</v>
      </c>
      <c r="AN223" s="14">
        <v>21</v>
      </c>
      <c r="AO223" s="14">
        <f>G223*0</f>
        <v>0</v>
      </c>
      <c r="AP223" s="14">
        <f>G223*(1-0)</f>
        <v>0</v>
      </c>
      <c r="AQ223" s="13" t="s">
        <v>183</v>
      </c>
      <c r="AV223" s="14">
        <f>AW223+AX223</f>
        <v>0</v>
      </c>
      <c r="AW223" s="14">
        <f>F223*AO223</f>
        <v>0</v>
      </c>
      <c r="AX223" s="14">
        <f>F223*AP223</f>
        <v>0</v>
      </c>
      <c r="AY223" s="13" t="s">
        <v>663</v>
      </c>
      <c r="AZ223" s="13" t="s">
        <v>584</v>
      </c>
      <c r="BA223" s="43" t="s">
        <v>182</v>
      </c>
      <c r="BC223" s="14">
        <f>AW223+AX223</f>
        <v>0</v>
      </c>
      <c r="BD223" s="14">
        <f>G223/(100-BE223)*100</f>
        <v>0</v>
      </c>
      <c r="BE223" s="14">
        <v>0</v>
      </c>
      <c r="BF223" s="14">
        <f>223</f>
        <v>223</v>
      </c>
      <c r="BH223" s="14">
        <f>F223*AO223</f>
        <v>0</v>
      </c>
      <c r="BI223" s="14">
        <f>F223*AP223</f>
        <v>0</v>
      </c>
      <c r="BJ223" s="14">
        <f>F223*G223</f>
        <v>0</v>
      </c>
      <c r="BK223" s="14"/>
      <c r="BL223" s="14"/>
      <c r="BW223" s="14">
        <v>21</v>
      </c>
      <c r="BX223" s="4" t="s">
        <v>662</v>
      </c>
    </row>
    <row r="224" spans="1:76" ht="14.5" x14ac:dyDescent="0.35">
      <c r="A224" s="60" t="s">
        <v>19</v>
      </c>
      <c r="B224" s="61" t="s">
        <v>71</v>
      </c>
      <c r="C224" s="165" t="s">
        <v>72</v>
      </c>
      <c r="D224" s="166"/>
      <c r="E224" s="62" t="s">
        <v>3</v>
      </c>
      <c r="F224" s="62" t="s">
        <v>3</v>
      </c>
      <c r="G224" s="63" t="s">
        <v>3</v>
      </c>
      <c r="H224" s="38">
        <f>SUM(H225:H236)</f>
        <v>0</v>
      </c>
      <c r="I224" s="38">
        <f>SUM(I225:I236)</f>
        <v>0</v>
      </c>
      <c r="J224" s="64">
        <f>SUM(J225:J236)</f>
        <v>0</v>
      </c>
      <c r="AI224" s="43" t="s">
        <v>19</v>
      </c>
      <c r="AS224" s="38">
        <f>SUM(AJ225:AJ236)</f>
        <v>0</v>
      </c>
      <c r="AT224" s="38">
        <f>SUM(AK225:AK236)</f>
        <v>0</v>
      </c>
      <c r="AU224" s="38">
        <f>SUM(AL225:AL236)</f>
        <v>0</v>
      </c>
    </row>
    <row r="225" spans="1:76" ht="14.5" x14ac:dyDescent="0.35">
      <c r="A225" s="1" t="s">
        <v>664</v>
      </c>
      <c r="B225" s="2" t="s">
        <v>665</v>
      </c>
      <c r="C225" s="81" t="s">
        <v>666</v>
      </c>
      <c r="D225" s="75"/>
      <c r="E225" s="2" t="s">
        <v>215</v>
      </c>
      <c r="F225" s="14">
        <v>3</v>
      </c>
      <c r="G225" s="55">
        <v>0</v>
      </c>
      <c r="H225" s="14">
        <f t="shared" ref="H225:H236" si="96">F225*AO225</f>
        <v>0</v>
      </c>
      <c r="I225" s="14">
        <f t="shared" ref="I225:I236" si="97">F225*AP225</f>
        <v>0</v>
      </c>
      <c r="J225" s="56">
        <f t="shared" ref="J225:J236" si="98">F225*G225</f>
        <v>0</v>
      </c>
      <c r="Z225" s="14">
        <f t="shared" ref="Z225:Z236" si="99">IF(AQ225="5",BJ225,0)</f>
        <v>0</v>
      </c>
      <c r="AB225" s="14">
        <f t="shared" ref="AB225:AB236" si="100">IF(AQ225="1",BH225,0)</f>
        <v>0</v>
      </c>
      <c r="AC225" s="14">
        <f t="shared" ref="AC225:AC236" si="101">IF(AQ225="1",BI225,0)</f>
        <v>0</v>
      </c>
      <c r="AD225" s="14">
        <f t="shared" ref="AD225:AD236" si="102">IF(AQ225="7",BH225,0)</f>
        <v>0</v>
      </c>
      <c r="AE225" s="14">
        <f t="shared" ref="AE225:AE236" si="103">IF(AQ225="7",BI225,0)</f>
        <v>0</v>
      </c>
      <c r="AF225" s="14">
        <f t="shared" ref="AF225:AF236" si="104">IF(AQ225="2",BH225,0)</f>
        <v>0</v>
      </c>
      <c r="AG225" s="14">
        <f t="shared" ref="AG225:AG236" si="105">IF(AQ225="2",BI225,0)</f>
        <v>0</v>
      </c>
      <c r="AH225" s="14">
        <f t="shared" ref="AH225:AH236" si="106">IF(AQ225="0",BJ225,0)</f>
        <v>0</v>
      </c>
      <c r="AI225" s="43" t="s">
        <v>19</v>
      </c>
      <c r="AJ225" s="14">
        <f t="shared" ref="AJ225:AJ236" si="107">IF(AN225=0,J225,0)</f>
        <v>0</v>
      </c>
      <c r="AK225" s="14">
        <f t="shared" ref="AK225:AK236" si="108">IF(AN225=12,J225,0)</f>
        <v>0</v>
      </c>
      <c r="AL225" s="14">
        <f t="shared" ref="AL225:AL236" si="109">IF(AN225=21,J225,0)</f>
        <v>0</v>
      </c>
      <c r="AN225" s="14">
        <v>21</v>
      </c>
      <c r="AO225" s="14">
        <f t="shared" ref="AO225:AO236" si="110">G225*0</f>
        <v>0</v>
      </c>
      <c r="AP225" s="14">
        <f t="shared" ref="AP225:AP236" si="111">G225*(1-0)</f>
        <v>0</v>
      </c>
      <c r="AQ225" s="13" t="s">
        <v>183</v>
      </c>
      <c r="AV225" s="14">
        <f t="shared" ref="AV225:AV236" si="112">AW225+AX225</f>
        <v>0</v>
      </c>
      <c r="AW225" s="14">
        <f t="shared" ref="AW225:AW236" si="113">F225*AO225</f>
        <v>0</v>
      </c>
      <c r="AX225" s="14">
        <f t="shared" ref="AX225:AX236" si="114">F225*AP225</f>
        <v>0</v>
      </c>
      <c r="AY225" s="13" t="s">
        <v>667</v>
      </c>
      <c r="AZ225" s="13" t="s">
        <v>584</v>
      </c>
      <c r="BA225" s="43" t="s">
        <v>182</v>
      </c>
      <c r="BC225" s="14">
        <f t="shared" ref="BC225:BC236" si="115">AW225+AX225</f>
        <v>0</v>
      </c>
      <c r="BD225" s="14">
        <f t="shared" ref="BD225:BD236" si="116">G225/(100-BE225)*100</f>
        <v>0</v>
      </c>
      <c r="BE225" s="14">
        <v>0</v>
      </c>
      <c r="BF225" s="14">
        <f>225</f>
        <v>225</v>
      </c>
      <c r="BH225" s="14">
        <f t="shared" ref="BH225:BH236" si="117">F225*AO225</f>
        <v>0</v>
      </c>
      <c r="BI225" s="14">
        <f t="shared" ref="BI225:BI236" si="118">F225*AP225</f>
        <v>0</v>
      </c>
      <c r="BJ225" s="14">
        <f t="shared" ref="BJ225:BJ236" si="119">F225*G225</f>
        <v>0</v>
      </c>
      <c r="BK225" s="14"/>
      <c r="BL225" s="14"/>
      <c r="BW225" s="14">
        <v>21</v>
      </c>
      <c r="BX225" s="4" t="s">
        <v>666</v>
      </c>
    </row>
    <row r="226" spans="1:76" ht="14.5" x14ac:dyDescent="0.35">
      <c r="A226" s="1" t="s">
        <v>668</v>
      </c>
      <c r="B226" s="2" t="s">
        <v>669</v>
      </c>
      <c r="C226" s="81" t="s">
        <v>670</v>
      </c>
      <c r="D226" s="75"/>
      <c r="E226" s="2" t="s">
        <v>215</v>
      </c>
      <c r="F226" s="14">
        <v>4</v>
      </c>
      <c r="G226" s="55">
        <v>0</v>
      </c>
      <c r="H226" s="14">
        <f t="shared" si="96"/>
        <v>0</v>
      </c>
      <c r="I226" s="14">
        <f t="shared" si="97"/>
        <v>0</v>
      </c>
      <c r="J226" s="56">
        <f t="shared" si="98"/>
        <v>0</v>
      </c>
      <c r="Z226" s="14">
        <f t="shared" si="99"/>
        <v>0</v>
      </c>
      <c r="AB226" s="14">
        <f t="shared" si="100"/>
        <v>0</v>
      </c>
      <c r="AC226" s="14">
        <f t="shared" si="101"/>
        <v>0</v>
      </c>
      <c r="AD226" s="14">
        <f t="shared" si="102"/>
        <v>0</v>
      </c>
      <c r="AE226" s="14">
        <f t="shared" si="103"/>
        <v>0</v>
      </c>
      <c r="AF226" s="14">
        <f t="shared" si="104"/>
        <v>0</v>
      </c>
      <c r="AG226" s="14">
        <f t="shared" si="105"/>
        <v>0</v>
      </c>
      <c r="AH226" s="14">
        <f t="shared" si="106"/>
        <v>0</v>
      </c>
      <c r="AI226" s="43" t="s">
        <v>19</v>
      </c>
      <c r="AJ226" s="14">
        <f t="shared" si="107"/>
        <v>0</v>
      </c>
      <c r="AK226" s="14">
        <f t="shared" si="108"/>
        <v>0</v>
      </c>
      <c r="AL226" s="14">
        <f t="shared" si="109"/>
        <v>0</v>
      </c>
      <c r="AN226" s="14">
        <v>21</v>
      </c>
      <c r="AO226" s="14">
        <f t="shared" si="110"/>
        <v>0</v>
      </c>
      <c r="AP226" s="14">
        <f t="shared" si="111"/>
        <v>0</v>
      </c>
      <c r="AQ226" s="13" t="s">
        <v>183</v>
      </c>
      <c r="AV226" s="14">
        <f t="shared" si="112"/>
        <v>0</v>
      </c>
      <c r="AW226" s="14">
        <f t="shared" si="113"/>
        <v>0</v>
      </c>
      <c r="AX226" s="14">
        <f t="shared" si="114"/>
        <v>0</v>
      </c>
      <c r="AY226" s="13" t="s">
        <v>667</v>
      </c>
      <c r="AZ226" s="13" t="s">
        <v>584</v>
      </c>
      <c r="BA226" s="43" t="s">
        <v>182</v>
      </c>
      <c r="BC226" s="14">
        <f t="shared" si="115"/>
        <v>0</v>
      </c>
      <c r="BD226" s="14">
        <f t="shared" si="116"/>
        <v>0</v>
      </c>
      <c r="BE226" s="14">
        <v>0</v>
      </c>
      <c r="BF226" s="14">
        <f>226</f>
        <v>226</v>
      </c>
      <c r="BH226" s="14">
        <f t="shared" si="117"/>
        <v>0</v>
      </c>
      <c r="BI226" s="14">
        <f t="shared" si="118"/>
        <v>0</v>
      </c>
      <c r="BJ226" s="14">
        <f t="shared" si="119"/>
        <v>0</v>
      </c>
      <c r="BK226" s="14"/>
      <c r="BL226" s="14"/>
      <c r="BW226" s="14">
        <v>21</v>
      </c>
      <c r="BX226" s="4" t="s">
        <v>670</v>
      </c>
    </row>
    <row r="227" spans="1:76" ht="14.5" x14ac:dyDescent="0.35">
      <c r="A227" s="1" t="s">
        <v>671</v>
      </c>
      <c r="B227" s="2" t="s">
        <v>672</v>
      </c>
      <c r="C227" s="81" t="s">
        <v>673</v>
      </c>
      <c r="D227" s="75"/>
      <c r="E227" s="2" t="s">
        <v>232</v>
      </c>
      <c r="F227" s="14">
        <v>20</v>
      </c>
      <c r="G227" s="55">
        <v>0</v>
      </c>
      <c r="H227" s="14">
        <f t="shared" si="96"/>
        <v>0</v>
      </c>
      <c r="I227" s="14">
        <f t="shared" si="97"/>
        <v>0</v>
      </c>
      <c r="J227" s="56">
        <f t="shared" si="98"/>
        <v>0</v>
      </c>
      <c r="Z227" s="14">
        <f t="shared" si="99"/>
        <v>0</v>
      </c>
      <c r="AB227" s="14">
        <f t="shared" si="100"/>
        <v>0</v>
      </c>
      <c r="AC227" s="14">
        <f t="shared" si="101"/>
        <v>0</v>
      </c>
      <c r="AD227" s="14">
        <f t="shared" si="102"/>
        <v>0</v>
      </c>
      <c r="AE227" s="14">
        <f t="shared" si="103"/>
        <v>0</v>
      </c>
      <c r="AF227" s="14">
        <f t="shared" si="104"/>
        <v>0</v>
      </c>
      <c r="AG227" s="14">
        <f t="shared" si="105"/>
        <v>0</v>
      </c>
      <c r="AH227" s="14">
        <f t="shared" si="106"/>
        <v>0</v>
      </c>
      <c r="AI227" s="43" t="s">
        <v>19</v>
      </c>
      <c r="AJ227" s="14">
        <f t="shared" si="107"/>
        <v>0</v>
      </c>
      <c r="AK227" s="14">
        <f t="shared" si="108"/>
        <v>0</v>
      </c>
      <c r="AL227" s="14">
        <f t="shared" si="109"/>
        <v>0</v>
      </c>
      <c r="AN227" s="14">
        <v>21</v>
      </c>
      <c r="AO227" s="14">
        <f t="shared" si="110"/>
        <v>0</v>
      </c>
      <c r="AP227" s="14">
        <f t="shared" si="111"/>
        <v>0</v>
      </c>
      <c r="AQ227" s="13" t="s">
        <v>183</v>
      </c>
      <c r="AV227" s="14">
        <f t="shared" si="112"/>
        <v>0</v>
      </c>
      <c r="AW227" s="14">
        <f t="shared" si="113"/>
        <v>0</v>
      </c>
      <c r="AX227" s="14">
        <f t="shared" si="114"/>
        <v>0</v>
      </c>
      <c r="AY227" s="13" t="s">
        <v>667</v>
      </c>
      <c r="AZ227" s="13" t="s">
        <v>584</v>
      </c>
      <c r="BA227" s="43" t="s">
        <v>182</v>
      </c>
      <c r="BC227" s="14">
        <f t="shared" si="115"/>
        <v>0</v>
      </c>
      <c r="BD227" s="14">
        <f t="shared" si="116"/>
        <v>0</v>
      </c>
      <c r="BE227" s="14">
        <v>0</v>
      </c>
      <c r="BF227" s="14">
        <f>227</f>
        <v>227</v>
      </c>
      <c r="BH227" s="14">
        <f t="shared" si="117"/>
        <v>0</v>
      </c>
      <c r="BI227" s="14">
        <f t="shared" si="118"/>
        <v>0</v>
      </c>
      <c r="BJ227" s="14">
        <f t="shared" si="119"/>
        <v>0</v>
      </c>
      <c r="BK227" s="14"/>
      <c r="BL227" s="14"/>
      <c r="BW227" s="14">
        <v>21</v>
      </c>
      <c r="BX227" s="4" t="s">
        <v>673</v>
      </c>
    </row>
    <row r="228" spans="1:76" ht="14.5" x14ac:dyDescent="0.35">
      <c r="A228" s="1" t="s">
        <v>674</v>
      </c>
      <c r="B228" s="2" t="s">
        <v>675</v>
      </c>
      <c r="C228" s="81" t="s">
        <v>676</v>
      </c>
      <c r="D228" s="75"/>
      <c r="E228" s="2" t="s">
        <v>232</v>
      </c>
      <c r="F228" s="14">
        <v>40</v>
      </c>
      <c r="G228" s="55">
        <v>0</v>
      </c>
      <c r="H228" s="14">
        <f t="shared" si="96"/>
        <v>0</v>
      </c>
      <c r="I228" s="14">
        <f t="shared" si="97"/>
        <v>0</v>
      </c>
      <c r="J228" s="56">
        <f t="shared" si="98"/>
        <v>0</v>
      </c>
      <c r="Z228" s="14">
        <f t="shared" si="99"/>
        <v>0</v>
      </c>
      <c r="AB228" s="14">
        <f t="shared" si="100"/>
        <v>0</v>
      </c>
      <c r="AC228" s="14">
        <f t="shared" si="101"/>
        <v>0</v>
      </c>
      <c r="AD228" s="14">
        <f t="shared" si="102"/>
        <v>0</v>
      </c>
      <c r="AE228" s="14">
        <f t="shared" si="103"/>
        <v>0</v>
      </c>
      <c r="AF228" s="14">
        <f t="shared" si="104"/>
        <v>0</v>
      </c>
      <c r="AG228" s="14">
        <f t="shared" si="105"/>
        <v>0</v>
      </c>
      <c r="AH228" s="14">
        <f t="shared" si="106"/>
        <v>0</v>
      </c>
      <c r="AI228" s="43" t="s">
        <v>19</v>
      </c>
      <c r="AJ228" s="14">
        <f t="shared" si="107"/>
        <v>0</v>
      </c>
      <c r="AK228" s="14">
        <f t="shared" si="108"/>
        <v>0</v>
      </c>
      <c r="AL228" s="14">
        <f t="shared" si="109"/>
        <v>0</v>
      </c>
      <c r="AN228" s="14">
        <v>21</v>
      </c>
      <c r="AO228" s="14">
        <f t="shared" si="110"/>
        <v>0</v>
      </c>
      <c r="AP228" s="14">
        <f t="shared" si="111"/>
        <v>0</v>
      </c>
      <c r="AQ228" s="13" t="s">
        <v>183</v>
      </c>
      <c r="AV228" s="14">
        <f t="shared" si="112"/>
        <v>0</v>
      </c>
      <c r="AW228" s="14">
        <f t="shared" si="113"/>
        <v>0</v>
      </c>
      <c r="AX228" s="14">
        <f t="shared" si="114"/>
        <v>0</v>
      </c>
      <c r="AY228" s="13" t="s">
        <v>667</v>
      </c>
      <c r="AZ228" s="13" t="s">
        <v>584</v>
      </c>
      <c r="BA228" s="43" t="s">
        <v>182</v>
      </c>
      <c r="BC228" s="14">
        <f t="shared" si="115"/>
        <v>0</v>
      </c>
      <c r="BD228" s="14">
        <f t="shared" si="116"/>
        <v>0</v>
      </c>
      <c r="BE228" s="14">
        <v>0</v>
      </c>
      <c r="BF228" s="14">
        <f>228</f>
        <v>228</v>
      </c>
      <c r="BH228" s="14">
        <f t="shared" si="117"/>
        <v>0</v>
      </c>
      <c r="BI228" s="14">
        <f t="shared" si="118"/>
        <v>0</v>
      </c>
      <c r="BJ228" s="14">
        <f t="shared" si="119"/>
        <v>0</v>
      </c>
      <c r="BK228" s="14"/>
      <c r="BL228" s="14"/>
      <c r="BW228" s="14">
        <v>21</v>
      </c>
      <c r="BX228" s="4" t="s">
        <v>676</v>
      </c>
    </row>
    <row r="229" spans="1:76" ht="14.5" x14ac:dyDescent="0.35">
      <c r="A229" s="1" t="s">
        <v>677</v>
      </c>
      <c r="B229" s="2" t="s">
        <v>678</v>
      </c>
      <c r="C229" s="81" t="s">
        <v>679</v>
      </c>
      <c r="D229" s="75"/>
      <c r="E229" s="2" t="s">
        <v>215</v>
      </c>
      <c r="F229" s="14">
        <v>5</v>
      </c>
      <c r="G229" s="55">
        <v>0</v>
      </c>
      <c r="H229" s="14">
        <f t="shared" si="96"/>
        <v>0</v>
      </c>
      <c r="I229" s="14">
        <f t="shared" si="97"/>
        <v>0</v>
      </c>
      <c r="J229" s="56">
        <f t="shared" si="98"/>
        <v>0</v>
      </c>
      <c r="Z229" s="14">
        <f t="shared" si="99"/>
        <v>0</v>
      </c>
      <c r="AB229" s="14">
        <f t="shared" si="100"/>
        <v>0</v>
      </c>
      <c r="AC229" s="14">
        <f t="shared" si="101"/>
        <v>0</v>
      </c>
      <c r="AD229" s="14">
        <f t="shared" si="102"/>
        <v>0</v>
      </c>
      <c r="AE229" s="14">
        <f t="shared" si="103"/>
        <v>0</v>
      </c>
      <c r="AF229" s="14">
        <f t="shared" si="104"/>
        <v>0</v>
      </c>
      <c r="AG229" s="14">
        <f t="shared" si="105"/>
        <v>0</v>
      </c>
      <c r="AH229" s="14">
        <f t="shared" si="106"/>
        <v>0</v>
      </c>
      <c r="AI229" s="43" t="s">
        <v>19</v>
      </c>
      <c r="AJ229" s="14">
        <f t="shared" si="107"/>
        <v>0</v>
      </c>
      <c r="AK229" s="14">
        <f t="shared" si="108"/>
        <v>0</v>
      </c>
      <c r="AL229" s="14">
        <f t="shared" si="109"/>
        <v>0</v>
      </c>
      <c r="AN229" s="14">
        <v>21</v>
      </c>
      <c r="AO229" s="14">
        <f t="shared" si="110"/>
        <v>0</v>
      </c>
      <c r="AP229" s="14">
        <f t="shared" si="111"/>
        <v>0</v>
      </c>
      <c r="AQ229" s="13" t="s">
        <v>183</v>
      </c>
      <c r="AV229" s="14">
        <f t="shared" si="112"/>
        <v>0</v>
      </c>
      <c r="AW229" s="14">
        <f t="shared" si="113"/>
        <v>0</v>
      </c>
      <c r="AX229" s="14">
        <f t="shared" si="114"/>
        <v>0</v>
      </c>
      <c r="AY229" s="13" t="s">
        <v>667</v>
      </c>
      <c r="AZ229" s="13" t="s">
        <v>584</v>
      </c>
      <c r="BA229" s="43" t="s">
        <v>182</v>
      </c>
      <c r="BC229" s="14">
        <f t="shared" si="115"/>
        <v>0</v>
      </c>
      <c r="BD229" s="14">
        <f t="shared" si="116"/>
        <v>0</v>
      </c>
      <c r="BE229" s="14">
        <v>0</v>
      </c>
      <c r="BF229" s="14">
        <f>229</f>
        <v>229</v>
      </c>
      <c r="BH229" s="14">
        <f t="shared" si="117"/>
        <v>0</v>
      </c>
      <c r="BI229" s="14">
        <f t="shared" si="118"/>
        <v>0</v>
      </c>
      <c r="BJ229" s="14">
        <f t="shared" si="119"/>
        <v>0</v>
      </c>
      <c r="BK229" s="14"/>
      <c r="BL229" s="14"/>
      <c r="BW229" s="14">
        <v>21</v>
      </c>
      <c r="BX229" s="4" t="s">
        <v>679</v>
      </c>
    </row>
    <row r="230" spans="1:76" ht="14.5" x14ac:dyDescent="0.35">
      <c r="A230" s="1" t="s">
        <v>680</v>
      </c>
      <c r="B230" s="2" t="s">
        <v>681</v>
      </c>
      <c r="C230" s="81" t="s">
        <v>682</v>
      </c>
      <c r="D230" s="75"/>
      <c r="E230" s="2" t="s">
        <v>215</v>
      </c>
      <c r="F230" s="14">
        <v>7</v>
      </c>
      <c r="G230" s="55">
        <v>0</v>
      </c>
      <c r="H230" s="14">
        <f t="shared" si="96"/>
        <v>0</v>
      </c>
      <c r="I230" s="14">
        <f t="shared" si="97"/>
        <v>0</v>
      </c>
      <c r="J230" s="56">
        <f t="shared" si="98"/>
        <v>0</v>
      </c>
      <c r="Z230" s="14">
        <f t="shared" si="99"/>
        <v>0</v>
      </c>
      <c r="AB230" s="14">
        <f t="shared" si="100"/>
        <v>0</v>
      </c>
      <c r="AC230" s="14">
        <f t="shared" si="101"/>
        <v>0</v>
      </c>
      <c r="AD230" s="14">
        <f t="shared" si="102"/>
        <v>0</v>
      </c>
      <c r="AE230" s="14">
        <f t="shared" si="103"/>
        <v>0</v>
      </c>
      <c r="AF230" s="14">
        <f t="shared" si="104"/>
        <v>0</v>
      </c>
      <c r="AG230" s="14">
        <f t="shared" si="105"/>
        <v>0</v>
      </c>
      <c r="AH230" s="14">
        <f t="shared" si="106"/>
        <v>0</v>
      </c>
      <c r="AI230" s="43" t="s">
        <v>19</v>
      </c>
      <c r="AJ230" s="14">
        <f t="shared" si="107"/>
        <v>0</v>
      </c>
      <c r="AK230" s="14">
        <f t="shared" si="108"/>
        <v>0</v>
      </c>
      <c r="AL230" s="14">
        <f t="shared" si="109"/>
        <v>0</v>
      </c>
      <c r="AN230" s="14">
        <v>21</v>
      </c>
      <c r="AO230" s="14">
        <f t="shared" si="110"/>
        <v>0</v>
      </c>
      <c r="AP230" s="14">
        <f t="shared" si="111"/>
        <v>0</v>
      </c>
      <c r="AQ230" s="13" t="s">
        <v>183</v>
      </c>
      <c r="AV230" s="14">
        <f t="shared" si="112"/>
        <v>0</v>
      </c>
      <c r="AW230" s="14">
        <f t="shared" si="113"/>
        <v>0</v>
      </c>
      <c r="AX230" s="14">
        <f t="shared" si="114"/>
        <v>0</v>
      </c>
      <c r="AY230" s="13" t="s">
        <v>667</v>
      </c>
      <c r="AZ230" s="13" t="s">
        <v>584</v>
      </c>
      <c r="BA230" s="43" t="s">
        <v>182</v>
      </c>
      <c r="BC230" s="14">
        <f t="shared" si="115"/>
        <v>0</v>
      </c>
      <c r="BD230" s="14">
        <f t="shared" si="116"/>
        <v>0</v>
      </c>
      <c r="BE230" s="14">
        <v>0</v>
      </c>
      <c r="BF230" s="14">
        <f>230</f>
        <v>230</v>
      </c>
      <c r="BH230" s="14">
        <f t="shared" si="117"/>
        <v>0</v>
      </c>
      <c r="BI230" s="14">
        <f t="shared" si="118"/>
        <v>0</v>
      </c>
      <c r="BJ230" s="14">
        <f t="shared" si="119"/>
        <v>0</v>
      </c>
      <c r="BK230" s="14"/>
      <c r="BL230" s="14"/>
      <c r="BW230" s="14">
        <v>21</v>
      </c>
      <c r="BX230" s="4" t="s">
        <v>682</v>
      </c>
    </row>
    <row r="231" spans="1:76" ht="14.5" x14ac:dyDescent="0.35">
      <c r="A231" s="1" t="s">
        <v>683</v>
      </c>
      <c r="B231" s="2" t="s">
        <v>684</v>
      </c>
      <c r="C231" s="81" t="s">
        <v>685</v>
      </c>
      <c r="D231" s="75"/>
      <c r="E231" s="2" t="s">
        <v>215</v>
      </c>
      <c r="F231" s="14">
        <v>1</v>
      </c>
      <c r="G231" s="55">
        <v>0</v>
      </c>
      <c r="H231" s="14">
        <f t="shared" si="96"/>
        <v>0</v>
      </c>
      <c r="I231" s="14">
        <f t="shared" si="97"/>
        <v>0</v>
      </c>
      <c r="J231" s="56">
        <f t="shared" si="98"/>
        <v>0</v>
      </c>
      <c r="Z231" s="14">
        <f t="shared" si="99"/>
        <v>0</v>
      </c>
      <c r="AB231" s="14">
        <f t="shared" si="100"/>
        <v>0</v>
      </c>
      <c r="AC231" s="14">
        <f t="shared" si="101"/>
        <v>0</v>
      </c>
      <c r="AD231" s="14">
        <f t="shared" si="102"/>
        <v>0</v>
      </c>
      <c r="AE231" s="14">
        <f t="shared" si="103"/>
        <v>0</v>
      </c>
      <c r="AF231" s="14">
        <f t="shared" si="104"/>
        <v>0</v>
      </c>
      <c r="AG231" s="14">
        <f t="shared" si="105"/>
        <v>0</v>
      </c>
      <c r="AH231" s="14">
        <f t="shared" si="106"/>
        <v>0</v>
      </c>
      <c r="AI231" s="43" t="s">
        <v>19</v>
      </c>
      <c r="AJ231" s="14">
        <f t="shared" si="107"/>
        <v>0</v>
      </c>
      <c r="AK231" s="14">
        <f t="shared" si="108"/>
        <v>0</v>
      </c>
      <c r="AL231" s="14">
        <f t="shared" si="109"/>
        <v>0</v>
      </c>
      <c r="AN231" s="14">
        <v>21</v>
      </c>
      <c r="AO231" s="14">
        <f t="shared" si="110"/>
        <v>0</v>
      </c>
      <c r="AP231" s="14">
        <f t="shared" si="111"/>
        <v>0</v>
      </c>
      <c r="AQ231" s="13" t="s">
        <v>183</v>
      </c>
      <c r="AV231" s="14">
        <f t="shared" si="112"/>
        <v>0</v>
      </c>
      <c r="AW231" s="14">
        <f t="shared" si="113"/>
        <v>0</v>
      </c>
      <c r="AX231" s="14">
        <f t="shared" si="114"/>
        <v>0</v>
      </c>
      <c r="AY231" s="13" t="s">
        <v>667</v>
      </c>
      <c r="AZ231" s="13" t="s">
        <v>584</v>
      </c>
      <c r="BA231" s="43" t="s">
        <v>182</v>
      </c>
      <c r="BC231" s="14">
        <f t="shared" si="115"/>
        <v>0</v>
      </c>
      <c r="BD231" s="14">
        <f t="shared" si="116"/>
        <v>0</v>
      </c>
      <c r="BE231" s="14">
        <v>0</v>
      </c>
      <c r="BF231" s="14">
        <f>231</f>
        <v>231</v>
      </c>
      <c r="BH231" s="14">
        <f t="shared" si="117"/>
        <v>0</v>
      </c>
      <c r="BI231" s="14">
        <f t="shared" si="118"/>
        <v>0</v>
      </c>
      <c r="BJ231" s="14">
        <f t="shared" si="119"/>
        <v>0</v>
      </c>
      <c r="BK231" s="14"/>
      <c r="BL231" s="14"/>
      <c r="BW231" s="14">
        <v>21</v>
      </c>
      <c r="BX231" s="4" t="s">
        <v>685</v>
      </c>
    </row>
    <row r="232" spans="1:76" ht="14.5" x14ac:dyDescent="0.35">
      <c r="A232" s="1" t="s">
        <v>686</v>
      </c>
      <c r="B232" s="2" t="s">
        <v>687</v>
      </c>
      <c r="C232" s="81" t="s">
        <v>688</v>
      </c>
      <c r="D232" s="75"/>
      <c r="E232" s="2" t="s">
        <v>371</v>
      </c>
      <c r="F232" s="14">
        <v>1</v>
      </c>
      <c r="G232" s="55">
        <v>0</v>
      </c>
      <c r="H232" s="14">
        <f t="shared" si="96"/>
        <v>0</v>
      </c>
      <c r="I232" s="14">
        <f t="shared" si="97"/>
        <v>0</v>
      </c>
      <c r="J232" s="56">
        <f t="shared" si="98"/>
        <v>0</v>
      </c>
      <c r="Z232" s="14">
        <f t="shared" si="99"/>
        <v>0</v>
      </c>
      <c r="AB232" s="14">
        <f t="shared" si="100"/>
        <v>0</v>
      </c>
      <c r="AC232" s="14">
        <f t="shared" si="101"/>
        <v>0</v>
      </c>
      <c r="AD232" s="14">
        <f t="shared" si="102"/>
        <v>0</v>
      </c>
      <c r="AE232" s="14">
        <f t="shared" si="103"/>
        <v>0</v>
      </c>
      <c r="AF232" s="14">
        <f t="shared" si="104"/>
        <v>0</v>
      </c>
      <c r="AG232" s="14">
        <f t="shared" si="105"/>
        <v>0</v>
      </c>
      <c r="AH232" s="14">
        <f t="shared" si="106"/>
        <v>0</v>
      </c>
      <c r="AI232" s="43" t="s">
        <v>19</v>
      </c>
      <c r="AJ232" s="14">
        <f t="shared" si="107"/>
        <v>0</v>
      </c>
      <c r="AK232" s="14">
        <f t="shared" si="108"/>
        <v>0</v>
      </c>
      <c r="AL232" s="14">
        <f t="shared" si="109"/>
        <v>0</v>
      </c>
      <c r="AN232" s="14">
        <v>21</v>
      </c>
      <c r="AO232" s="14">
        <f t="shared" si="110"/>
        <v>0</v>
      </c>
      <c r="AP232" s="14">
        <f t="shared" si="111"/>
        <v>0</v>
      </c>
      <c r="AQ232" s="13" t="s">
        <v>183</v>
      </c>
      <c r="AV232" s="14">
        <f t="shared" si="112"/>
        <v>0</v>
      </c>
      <c r="AW232" s="14">
        <f t="shared" si="113"/>
        <v>0</v>
      </c>
      <c r="AX232" s="14">
        <f t="shared" si="114"/>
        <v>0</v>
      </c>
      <c r="AY232" s="13" t="s">
        <v>667</v>
      </c>
      <c r="AZ232" s="13" t="s">
        <v>584</v>
      </c>
      <c r="BA232" s="43" t="s">
        <v>182</v>
      </c>
      <c r="BC232" s="14">
        <f t="shared" si="115"/>
        <v>0</v>
      </c>
      <c r="BD232" s="14">
        <f t="shared" si="116"/>
        <v>0</v>
      </c>
      <c r="BE232" s="14">
        <v>0</v>
      </c>
      <c r="BF232" s="14">
        <f>232</f>
        <v>232</v>
      </c>
      <c r="BH232" s="14">
        <f t="shared" si="117"/>
        <v>0</v>
      </c>
      <c r="BI232" s="14">
        <f t="shared" si="118"/>
        <v>0</v>
      </c>
      <c r="BJ232" s="14">
        <f t="shared" si="119"/>
        <v>0</v>
      </c>
      <c r="BK232" s="14"/>
      <c r="BL232" s="14"/>
      <c r="BW232" s="14">
        <v>21</v>
      </c>
      <c r="BX232" s="4" t="s">
        <v>688</v>
      </c>
    </row>
    <row r="233" spans="1:76" ht="14.5" x14ac:dyDescent="0.35">
      <c r="A233" s="1" t="s">
        <v>689</v>
      </c>
      <c r="B233" s="2" t="s">
        <v>690</v>
      </c>
      <c r="C233" s="81" t="s">
        <v>691</v>
      </c>
      <c r="D233" s="75"/>
      <c r="E233" s="2" t="s">
        <v>215</v>
      </c>
      <c r="F233" s="14">
        <v>12</v>
      </c>
      <c r="G233" s="55">
        <v>0</v>
      </c>
      <c r="H233" s="14">
        <f t="shared" si="96"/>
        <v>0</v>
      </c>
      <c r="I233" s="14">
        <f t="shared" si="97"/>
        <v>0</v>
      </c>
      <c r="J233" s="56">
        <f t="shared" si="98"/>
        <v>0</v>
      </c>
      <c r="Z233" s="14">
        <f t="shared" si="99"/>
        <v>0</v>
      </c>
      <c r="AB233" s="14">
        <f t="shared" si="100"/>
        <v>0</v>
      </c>
      <c r="AC233" s="14">
        <f t="shared" si="101"/>
        <v>0</v>
      </c>
      <c r="AD233" s="14">
        <f t="shared" si="102"/>
        <v>0</v>
      </c>
      <c r="AE233" s="14">
        <f t="shared" si="103"/>
        <v>0</v>
      </c>
      <c r="AF233" s="14">
        <f t="shared" si="104"/>
        <v>0</v>
      </c>
      <c r="AG233" s="14">
        <f t="shared" si="105"/>
        <v>0</v>
      </c>
      <c r="AH233" s="14">
        <f t="shared" si="106"/>
        <v>0</v>
      </c>
      <c r="AI233" s="43" t="s">
        <v>19</v>
      </c>
      <c r="AJ233" s="14">
        <f t="shared" si="107"/>
        <v>0</v>
      </c>
      <c r="AK233" s="14">
        <f t="shared" si="108"/>
        <v>0</v>
      </c>
      <c r="AL233" s="14">
        <f t="shared" si="109"/>
        <v>0</v>
      </c>
      <c r="AN233" s="14">
        <v>21</v>
      </c>
      <c r="AO233" s="14">
        <f t="shared" si="110"/>
        <v>0</v>
      </c>
      <c r="AP233" s="14">
        <f t="shared" si="111"/>
        <v>0</v>
      </c>
      <c r="AQ233" s="13" t="s">
        <v>183</v>
      </c>
      <c r="AV233" s="14">
        <f t="shared" si="112"/>
        <v>0</v>
      </c>
      <c r="AW233" s="14">
        <f t="shared" si="113"/>
        <v>0</v>
      </c>
      <c r="AX233" s="14">
        <f t="shared" si="114"/>
        <v>0</v>
      </c>
      <c r="AY233" s="13" t="s">
        <v>667</v>
      </c>
      <c r="AZ233" s="13" t="s">
        <v>584</v>
      </c>
      <c r="BA233" s="43" t="s">
        <v>182</v>
      </c>
      <c r="BC233" s="14">
        <f t="shared" si="115"/>
        <v>0</v>
      </c>
      <c r="BD233" s="14">
        <f t="shared" si="116"/>
        <v>0</v>
      </c>
      <c r="BE233" s="14">
        <v>0</v>
      </c>
      <c r="BF233" s="14">
        <f>233</f>
        <v>233</v>
      </c>
      <c r="BH233" s="14">
        <f t="shared" si="117"/>
        <v>0</v>
      </c>
      <c r="BI233" s="14">
        <f t="shared" si="118"/>
        <v>0</v>
      </c>
      <c r="BJ233" s="14">
        <f t="shared" si="119"/>
        <v>0</v>
      </c>
      <c r="BK233" s="14"/>
      <c r="BL233" s="14"/>
      <c r="BW233" s="14">
        <v>21</v>
      </c>
      <c r="BX233" s="4" t="s">
        <v>691</v>
      </c>
    </row>
    <row r="234" spans="1:76" ht="14.5" x14ac:dyDescent="0.35">
      <c r="A234" s="1" t="s">
        <v>692</v>
      </c>
      <c r="B234" s="2" t="s">
        <v>693</v>
      </c>
      <c r="C234" s="81" t="s">
        <v>694</v>
      </c>
      <c r="D234" s="75"/>
      <c r="E234" s="2" t="s">
        <v>371</v>
      </c>
      <c r="F234" s="14">
        <v>1</v>
      </c>
      <c r="G234" s="55">
        <v>0</v>
      </c>
      <c r="H234" s="14">
        <f t="shared" si="96"/>
        <v>0</v>
      </c>
      <c r="I234" s="14">
        <f t="shared" si="97"/>
        <v>0</v>
      </c>
      <c r="J234" s="56">
        <f t="shared" si="98"/>
        <v>0</v>
      </c>
      <c r="Z234" s="14">
        <f t="shared" si="99"/>
        <v>0</v>
      </c>
      <c r="AB234" s="14">
        <f t="shared" si="100"/>
        <v>0</v>
      </c>
      <c r="AC234" s="14">
        <f t="shared" si="101"/>
        <v>0</v>
      </c>
      <c r="AD234" s="14">
        <f t="shared" si="102"/>
        <v>0</v>
      </c>
      <c r="AE234" s="14">
        <f t="shared" si="103"/>
        <v>0</v>
      </c>
      <c r="AF234" s="14">
        <f t="shared" si="104"/>
        <v>0</v>
      </c>
      <c r="AG234" s="14">
        <f t="shared" si="105"/>
        <v>0</v>
      </c>
      <c r="AH234" s="14">
        <f t="shared" si="106"/>
        <v>0</v>
      </c>
      <c r="AI234" s="43" t="s">
        <v>19</v>
      </c>
      <c r="AJ234" s="14">
        <f t="shared" si="107"/>
        <v>0</v>
      </c>
      <c r="AK234" s="14">
        <f t="shared" si="108"/>
        <v>0</v>
      </c>
      <c r="AL234" s="14">
        <f t="shared" si="109"/>
        <v>0</v>
      </c>
      <c r="AN234" s="14">
        <v>21</v>
      </c>
      <c r="AO234" s="14">
        <f t="shared" si="110"/>
        <v>0</v>
      </c>
      <c r="AP234" s="14">
        <f t="shared" si="111"/>
        <v>0</v>
      </c>
      <c r="AQ234" s="13" t="s">
        <v>183</v>
      </c>
      <c r="AV234" s="14">
        <f t="shared" si="112"/>
        <v>0</v>
      </c>
      <c r="AW234" s="14">
        <f t="shared" si="113"/>
        <v>0</v>
      </c>
      <c r="AX234" s="14">
        <f t="shared" si="114"/>
        <v>0</v>
      </c>
      <c r="AY234" s="13" t="s">
        <v>667</v>
      </c>
      <c r="AZ234" s="13" t="s">
        <v>584</v>
      </c>
      <c r="BA234" s="43" t="s">
        <v>182</v>
      </c>
      <c r="BC234" s="14">
        <f t="shared" si="115"/>
        <v>0</v>
      </c>
      <c r="BD234" s="14">
        <f t="shared" si="116"/>
        <v>0</v>
      </c>
      <c r="BE234" s="14">
        <v>0</v>
      </c>
      <c r="BF234" s="14">
        <f>234</f>
        <v>234</v>
      </c>
      <c r="BH234" s="14">
        <f t="shared" si="117"/>
        <v>0</v>
      </c>
      <c r="BI234" s="14">
        <f t="shared" si="118"/>
        <v>0</v>
      </c>
      <c r="BJ234" s="14">
        <f t="shared" si="119"/>
        <v>0</v>
      </c>
      <c r="BK234" s="14"/>
      <c r="BL234" s="14"/>
      <c r="BW234" s="14">
        <v>21</v>
      </c>
      <c r="BX234" s="4" t="s">
        <v>694</v>
      </c>
    </row>
    <row r="235" spans="1:76" ht="14.5" x14ac:dyDescent="0.35">
      <c r="A235" s="1" t="s">
        <v>695</v>
      </c>
      <c r="B235" s="2" t="s">
        <v>696</v>
      </c>
      <c r="C235" s="81" t="s">
        <v>697</v>
      </c>
      <c r="D235" s="75"/>
      <c r="E235" s="2" t="s">
        <v>371</v>
      </c>
      <c r="F235" s="14">
        <v>1</v>
      </c>
      <c r="G235" s="55">
        <v>0</v>
      </c>
      <c r="H235" s="14">
        <f t="shared" si="96"/>
        <v>0</v>
      </c>
      <c r="I235" s="14">
        <f t="shared" si="97"/>
        <v>0</v>
      </c>
      <c r="J235" s="56">
        <f t="shared" si="98"/>
        <v>0</v>
      </c>
      <c r="Z235" s="14">
        <f t="shared" si="99"/>
        <v>0</v>
      </c>
      <c r="AB235" s="14">
        <f t="shared" si="100"/>
        <v>0</v>
      </c>
      <c r="AC235" s="14">
        <f t="shared" si="101"/>
        <v>0</v>
      </c>
      <c r="AD235" s="14">
        <f t="shared" si="102"/>
        <v>0</v>
      </c>
      <c r="AE235" s="14">
        <f t="shared" si="103"/>
        <v>0</v>
      </c>
      <c r="AF235" s="14">
        <f t="shared" si="104"/>
        <v>0</v>
      </c>
      <c r="AG235" s="14">
        <f t="shared" si="105"/>
        <v>0</v>
      </c>
      <c r="AH235" s="14">
        <f t="shared" si="106"/>
        <v>0</v>
      </c>
      <c r="AI235" s="43" t="s">
        <v>19</v>
      </c>
      <c r="AJ235" s="14">
        <f t="shared" si="107"/>
        <v>0</v>
      </c>
      <c r="AK235" s="14">
        <f t="shared" si="108"/>
        <v>0</v>
      </c>
      <c r="AL235" s="14">
        <f t="shared" si="109"/>
        <v>0</v>
      </c>
      <c r="AN235" s="14">
        <v>21</v>
      </c>
      <c r="AO235" s="14">
        <f t="shared" si="110"/>
        <v>0</v>
      </c>
      <c r="AP235" s="14">
        <f t="shared" si="111"/>
        <v>0</v>
      </c>
      <c r="AQ235" s="13" t="s">
        <v>183</v>
      </c>
      <c r="AV235" s="14">
        <f t="shared" si="112"/>
        <v>0</v>
      </c>
      <c r="AW235" s="14">
        <f t="shared" si="113"/>
        <v>0</v>
      </c>
      <c r="AX235" s="14">
        <f t="shared" si="114"/>
        <v>0</v>
      </c>
      <c r="AY235" s="13" t="s">
        <v>667</v>
      </c>
      <c r="AZ235" s="13" t="s">
        <v>584</v>
      </c>
      <c r="BA235" s="43" t="s">
        <v>182</v>
      </c>
      <c r="BC235" s="14">
        <f t="shared" si="115"/>
        <v>0</v>
      </c>
      <c r="BD235" s="14">
        <f t="shared" si="116"/>
        <v>0</v>
      </c>
      <c r="BE235" s="14">
        <v>0</v>
      </c>
      <c r="BF235" s="14">
        <f>235</f>
        <v>235</v>
      </c>
      <c r="BH235" s="14">
        <f t="shared" si="117"/>
        <v>0</v>
      </c>
      <c r="BI235" s="14">
        <f t="shared" si="118"/>
        <v>0</v>
      </c>
      <c r="BJ235" s="14">
        <f t="shared" si="119"/>
        <v>0</v>
      </c>
      <c r="BK235" s="14"/>
      <c r="BL235" s="14"/>
      <c r="BW235" s="14">
        <v>21</v>
      </c>
      <c r="BX235" s="4" t="s">
        <v>697</v>
      </c>
    </row>
    <row r="236" spans="1:76" ht="14.5" x14ac:dyDescent="0.35">
      <c r="A236" s="1" t="s">
        <v>698</v>
      </c>
      <c r="B236" s="2" t="s">
        <v>699</v>
      </c>
      <c r="C236" s="81" t="s">
        <v>700</v>
      </c>
      <c r="D236" s="75"/>
      <c r="E236" s="2" t="s">
        <v>371</v>
      </c>
      <c r="F236" s="14">
        <v>1</v>
      </c>
      <c r="G236" s="55">
        <v>0</v>
      </c>
      <c r="H236" s="14">
        <f t="shared" si="96"/>
        <v>0</v>
      </c>
      <c r="I236" s="14">
        <f t="shared" si="97"/>
        <v>0</v>
      </c>
      <c r="J236" s="56">
        <f t="shared" si="98"/>
        <v>0</v>
      </c>
      <c r="Z236" s="14">
        <f t="shared" si="99"/>
        <v>0</v>
      </c>
      <c r="AB236" s="14">
        <f t="shared" si="100"/>
        <v>0</v>
      </c>
      <c r="AC236" s="14">
        <f t="shared" si="101"/>
        <v>0</v>
      </c>
      <c r="AD236" s="14">
        <f t="shared" si="102"/>
        <v>0</v>
      </c>
      <c r="AE236" s="14">
        <f t="shared" si="103"/>
        <v>0</v>
      </c>
      <c r="AF236" s="14">
        <f t="shared" si="104"/>
        <v>0</v>
      </c>
      <c r="AG236" s="14">
        <f t="shared" si="105"/>
        <v>0</v>
      </c>
      <c r="AH236" s="14">
        <f t="shared" si="106"/>
        <v>0</v>
      </c>
      <c r="AI236" s="43" t="s">
        <v>19</v>
      </c>
      <c r="AJ236" s="14">
        <f t="shared" si="107"/>
        <v>0</v>
      </c>
      <c r="AK236" s="14">
        <f t="shared" si="108"/>
        <v>0</v>
      </c>
      <c r="AL236" s="14">
        <f t="shared" si="109"/>
        <v>0</v>
      </c>
      <c r="AN236" s="14">
        <v>21</v>
      </c>
      <c r="AO236" s="14">
        <f t="shared" si="110"/>
        <v>0</v>
      </c>
      <c r="AP236" s="14">
        <f t="shared" si="111"/>
        <v>0</v>
      </c>
      <c r="AQ236" s="13" t="s">
        <v>183</v>
      </c>
      <c r="AV236" s="14">
        <f t="shared" si="112"/>
        <v>0</v>
      </c>
      <c r="AW236" s="14">
        <f t="shared" si="113"/>
        <v>0</v>
      </c>
      <c r="AX236" s="14">
        <f t="shared" si="114"/>
        <v>0</v>
      </c>
      <c r="AY236" s="13" t="s">
        <v>667</v>
      </c>
      <c r="AZ236" s="13" t="s">
        <v>584</v>
      </c>
      <c r="BA236" s="43" t="s">
        <v>182</v>
      </c>
      <c r="BC236" s="14">
        <f t="shared" si="115"/>
        <v>0</v>
      </c>
      <c r="BD236" s="14">
        <f t="shared" si="116"/>
        <v>0</v>
      </c>
      <c r="BE236" s="14">
        <v>0</v>
      </c>
      <c r="BF236" s="14">
        <f>236</f>
        <v>236</v>
      </c>
      <c r="BH236" s="14">
        <f t="shared" si="117"/>
        <v>0</v>
      </c>
      <c r="BI236" s="14">
        <f t="shared" si="118"/>
        <v>0</v>
      </c>
      <c r="BJ236" s="14">
        <f t="shared" si="119"/>
        <v>0</v>
      </c>
      <c r="BK236" s="14"/>
      <c r="BL236" s="14"/>
      <c r="BW236" s="14">
        <v>21</v>
      </c>
      <c r="BX236" s="4" t="s">
        <v>700</v>
      </c>
    </row>
    <row r="237" spans="1:76" ht="14.5" x14ac:dyDescent="0.35">
      <c r="A237" s="60" t="s">
        <v>19</v>
      </c>
      <c r="B237" s="61" t="s">
        <v>73</v>
      </c>
      <c r="C237" s="165" t="s">
        <v>74</v>
      </c>
      <c r="D237" s="166"/>
      <c r="E237" s="62" t="s">
        <v>3</v>
      </c>
      <c r="F237" s="62" t="s">
        <v>3</v>
      </c>
      <c r="G237" s="69" t="s">
        <v>3</v>
      </c>
      <c r="H237" s="38">
        <f>SUM(H238:H245)</f>
        <v>0</v>
      </c>
      <c r="I237" s="38">
        <f>SUM(I238:I245)</f>
        <v>0</v>
      </c>
      <c r="J237" s="64">
        <f>SUM(J238:J245)</f>
        <v>0</v>
      </c>
      <c r="AI237" s="43" t="s">
        <v>19</v>
      </c>
      <c r="AS237" s="38">
        <f>SUM(AJ238:AJ245)</f>
        <v>0</v>
      </c>
      <c r="AT237" s="38">
        <f>SUM(AK238:AK245)</f>
        <v>0</v>
      </c>
      <c r="AU237" s="38">
        <f>SUM(AL238:AL245)</f>
        <v>0</v>
      </c>
    </row>
    <row r="238" spans="1:76" ht="14.5" x14ac:dyDescent="0.35">
      <c r="A238" s="1" t="s">
        <v>701</v>
      </c>
      <c r="B238" s="2" t="s">
        <v>702</v>
      </c>
      <c r="C238" s="81" t="s">
        <v>703</v>
      </c>
      <c r="D238" s="75"/>
      <c r="E238" s="2" t="s">
        <v>189</v>
      </c>
      <c r="F238" s="14">
        <v>16.135000000000002</v>
      </c>
      <c r="G238" s="55">
        <v>0</v>
      </c>
      <c r="H238" s="14">
        <f>F238*AO238</f>
        <v>0</v>
      </c>
      <c r="I238" s="14">
        <f>F238*AP238</f>
        <v>0</v>
      </c>
      <c r="J238" s="56">
        <f>F238*G238</f>
        <v>0</v>
      </c>
      <c r="Z238" s="14">
        <f>IF(AQ238="5",BJ238,0)</f>
        <v>0</v>
      </c>
      <c r="AB238" s="14">
        <f>IF(AQ238="1",BH238,0)</f>
        <v>0</v>
      </c>
      <c r="AC238" s="14">
        <f>IF(AQ238="1",BI238,0)</f>
        <v>0</v>
      </c>
      <c r="AD238" s="14">
        <f>IF(AQ238="7",BH238,0)</f>
        <v>0</v>
      </c>
      <c r="AE238" s="14">
        <f>IF(AQ238="7",BI238,0)</f>
        <v>0</v>
      </c>
      <c r="AF238" s="14">
        <f>IF(AQ238="2",BH238,0)</f>
        <v>0</v>
      </c>
      <c r="AG238" s="14">
        <f>IF(AQ238="2",BI238,0)</f>
        <v>0</v>
      </c>
      <c r="AH238" s="14">
        <f>IF(AQ238="0",BJ238,0)</f>
        <v>0</v>
      </c>
      <c r="AI238" s="43" t="s">
        <v>19</v>
      </c>
      <c r="AJ238" s="14">
        <f>IF(AN238=0,J238,0)</f>
        <v>0</v>
      </c>
      <c r="AK238" s="14">
        <f>IF(AN238=12,J238,0)</f>
        <v>0</v>
      </c>
      <c r="AL238" s="14">
        <f>IF(AN238=21,J238,0)</f>
        <v>0</v>
      </c>
      <c r="AN238" s="14">
        <v>21</v>
      </c>
      <c r="AO238" s="14">
        <f>G238*0</f>
        <v>0</v>
      </c>
      <c r="AP238" s="14">
        <f>G238*(1-0)</f>
        <v>0</v>
      </c>
      <c r="AQ238" s="13" t="s">
        <v>196</v>
      </c>
      <c r="AV238" s="14">
        <f>AW238+AX238</f>
        <v>0</v>
      </c>
      <c r="AW238" s="14">
        <f>F238*AO238</f>
        <v>0</v>
      </c>
      <c r="AX238" s="14">
        <f>F238*AP238</f>
        <v>0</v>
      </c>
      <c r="AY238" s="13" t="s">
        <v>704</v>
      </c>
      <c r="AZ238" s="13" t="s">
        <v>584</v>
      </c>
      <c r="BA238" s="43" t="s">
        <v>182</v>
      </c>
      <c r="BC238" s="14">
        <f>AW238+AX238</f>
        <v>0</v>
      </c>
      <c r="BD238" s="14">
        <f>G238/(100-BE238)*100</f>
        <v>0</v>
      </c>
      <c r="BE238" s="14">
        <v>0</v>
      </c>
      <c r="BF238" s="14">
        <f>238</f>
        <v>238</v>
      </c>
      <c r="BH238" s="14">
        <f>F238*AO238</f>
        <v>0</v>
      </c>
      <c r="BI238" s="14">
        <f>F238*AP238</f>
        <v>0</v>
      </c>
      <c r="BJ238" s="14">
        <f>F238*G238</f>
        <v>0</v>
      </c>
      <c r="BK238" s="14"/>
      <c r="BL238" s="14"/>
      <c r="BW238" s="14">
        <v>21</v>
      </c>
      <c r="BX238" s="4" t="s">
        <v>703</v>
      </c>
    </row>
    <row r="239" spans="1:76" ht="14.5" x14ac:dyDescent="0.35">
      <c r="A239" s="57"/>
      <c r="B239" s="58" t="s">
        <v>190</v>
      </c>
      <c r="C239" s="154" t="s">
        <v>705</v>
      </c>
      <c r="D239" s="155"/>
      <c r="E239" s="155"/>
      <c r="F239" s="155"/>
      <c r="G239" s="156"/>
      <c r="H239" s="155"/>
      <c r="I239" s="155"/>
      <c r="J239" s="157"/>
      <c r="BX239" s="59" t="s">
        <v>705</v>
      </c>
    </row>
    <row r="240" spans="1:76" ht="14.5" x14ac:dyDescent="0.35">
      <c r="A240" s="1" t="s">
        <v>706</v>
      </c>
      <c r="B240" s="2" t="s">
        <v>707</v>
      </c>
      <c r="C240" s="81" t="s">
        <v>708</v>
      </c>
      <c r="D240" s="75"/>
      <c r="E240" s="2" t="s">
        <v>189</v>
      </c>
      <c r="F240" s="14">
        <v>129.08000000000001</v>
      </c>
      <c r="G240" s="55">
        <v>0</v>
      </c>
      <c r="H240" s="14">
        <f t="shared" ref="H240:H245" si="120">F240*AO240</f>
        <v>0</v>
      </c>
      <c r="I240" s="14">
        <f t="shared" ref="I240:I245" si="121">F240*AP240</f>
        <v>0</v>
      </c>
      <c r="J240" s="56">
        <f t="shared" ref="J240:J245" si="122">F240*G240</f>
        <v>0</v>
      </c>
      <c r="Z240" s="14">
        <f t="shared" ref="Z240:Z245" si="123">IF(AQ240="5",BJ240,0)</f>
        <v>0</v>
      </c>
      <c r="AB240" s="14">
        <f t="shared" ref="AB240:AB245" si="124">IF(AQ240="1",BH240,0)</f>
        <v>0</v>
      </c>
      <c r="AC240" s="14">
        <f t="shared" ref="AC240:AC245" si="125">IF(AQ240="1",BI240,0)</f>
        <v>0</v>
      </c>
      <c r="AD240" s="14">
        <f t="shared" ref="AD240:AD245" si="126">IF(AQ240="7",BH240,0)</f>
        <v>0</v>
      </c>
      <c r="AE240" s="14">
        <f t="shared" ref="AE240:AE245" si="127">IF(AQ240="7",BI240,0)</f>
        <v>0</v>
      </c>
      <c r="AF240" s="14">
        <f t="shared" ref="AF240:AF245" si="128">IF(AQ240="2",BH240,0)</f>
        <v>0</v>
      </c>
      <c r="AG240" s="14">
        <f t="shared" ref="AG240:AG245" si="129">IF(AQ240="2",BI240,0)</f>
        <v>0</v>
      </c>
      <c r="AH240" s="14">
        <f t="shared" ref="AH240:AH245" si="130">IF(AQ240="0",BJ240,0)</f>
        <v>0</v>
      </c>
      <c r="AI240" s="43" t="s">
        <v>19</v>
      </c>
      <c r="AJ240" s="14">
        <f t="shared" ref="AJ240:AJ245" si="131">IF(AN240=0,J240,0)</f>
        <v>0</v>
      </c>
      <c r="AK240" s="14">
        <f t="shared" ref="AK240:AK245" si="132">IF(AN240=12,J240,0)</f>
        <v>0</v>
      </c>
      <c r="AL240" s="14">
        <f t="shared" ref="AL240:AL245" si="133">IF(AN240=21,J240,0)</f>
        <v>0</v>
      </c>
      <c r="AN240" s="14">
        <v>21</v>
      </c>
      <c r="AO240" s="14">
        <f t="shared" ref="AO240:AO245" si="134">G240*0</f>
        <v>0</v>
      </c>
      <c r="AP240" s="14">
        <f t="shared" ref="AP240:AP245" si="135">G240*(1-0)</f>
        <v>0</v>
      </c>
      <c r="AQ240" s="13" t="s">
        <v>196</v>
      </c>
      <c r="AV240" s="14">
        <f t="shared" ref="AV240:AV245" si="136">AW240+AX240</f>
        <v>0</v>
      </c>
      <c r="AW240" s="14">
        <f t="shared" ref="AW240:AW245" si="137">F240*AO240</f>
        <v>0</v>
      </c>
      <c r="AX240" s="14">
        <f t="shared" ref="AX240:AX245" si="138">F240*AP240</f>
        <v>0</v>
      </c>
      <c r="AY240" s="13" t="s">
        <v>704</v>
      </c>
      <c r="AZ240" s="13" t="s">
        <v>584</v>
      </c>
      <c r="BA240" s="43" t="s">
        <v>182</v>
      </c>
      <c r="BC240" s="14">
        <f t="shared" ref="BC240:BC245" si="139">AW240+AX240</f>
        <v>0</v>
      </c>
      <c r="BD240" s="14">
        <f t="shared" ref="BD240:BD245" si="140">G240/(100-BE240)*100</f>
        <v>0</v>
      </c>
      <c r="BE240" s="14">
        <v>0</v>
      </c>
      <c r="BF240" s="14">
        <f>240</f>
        <v>240</v>
      </c>
      <c r="BH240" s="14">
        <f t="shared" ref="BH240:BH245" si="141">F240*AO240</f>
        <v>0</v>
      </c>
      <c r="BI240" s="14">
        <f t="shared" ref="BI240:BI245" si="142">F240*AP240</f>
        <v>0</v>
      </c>
      <c r="BJ240" s="14">
        <f t="shared" ref="BJ240:BJ245" si="143">F240*G240</f>
        <v>0</v>
      </c>
      <c r="BK240" s="14"/>
      <c r="BL240" s="14"/>
      <c r="BW240" s="14">
        <v>21</v>
      </c>
      <c r="BX240" s="4" t="s">
        <v>708</v>
      </c>
    </row>
    <row r="241" spans="1:76" ht="14.5" x14ac:dyDescent="0.35">
      <c r="A241" s="1" t="s">
        <v>709</v>
      </c>
      <c r="B241" s="2" t="s">
        <v>710</v>
      </c>
      <c r="C241" s="81" t="s">
        <v>711</v>
      </c>
      <c r="D241" s="75"/>
      <c r="E241" s="2" t="s">
        <v>189</v>
      </c>
      <c r="F241" s="14">
        <v>1.7490000000000001</v>
      </c>
      <c r="G241" s="55">
        <v>0</v>
      </c>
      <c r="H241" s="14">
        <f t="shared" si="120"/>
        <v>0</v>
      </c>
      <c r="I241" s="14">
        <f t="shared" si="121"/>
        <v>0</v>
      </c>
      <c r="J241" s="56">
        <f t="shared" si="122"/>
        <v>0</v>
      </c>
      <c r="Z241" s="14">
        <f t="shared" si="123"/>
        <v>0</v>
      </c>
      <c r="AB241" s="14">
        <f t="shared" si="124"/>
        <v>0</v>
      </c>
      <c r="AC241" s="14">
        <f t="shared" si="125"/>
        <v>0</v>
      </c>
      <c r="AD241" s="14">
        <f t="shared" si="126"/>
        <v>0</v>
      </c>
      <c r="AE241" s="14">
        <f t="shared" si="127"/>
        <v>0</v>
      </c>
      <c r="AF241" s="14">
        <f t="shared" si="128"/>
        <v>0</v>
      </c>
      <c r="AG241" s="14">
        <f t="shared" si="129"/>
        <v>0</v>
      </c>
      <c r="AH241" s="14">
        <f t="shared" si="130"/>
        <v>0</v>
      </c>
      <c r="AI241" s="43" t="s">
        <v>19</v>
      </c>
      <c r="AJ241" s="14">
        <f t="shared" si="131"/>
        <v>0</v>
      </c>
      <c r="AK241" s="14">
        <f t="shared" si="132"/>
        <v>0</v>
      </c>
      <c r="AL241" s="14">
        <f t="shared" si="133"/>
        <v>0</v>
      </c>
      <c r="AN241" s="14">
        <v>21</v>
      </c>
      <c r="AO241" s="14">
        <f t="shared" si="134"/>
        <v>0</v>
      </c>
      <c r="AP241" s="14">
        <f t="shared" si="135"/>
        <v>0</v>
      </c>
      <c r="AQ241" s="13" t="s">
        <v>196</v>
      </c>
      <c r="AV241" s="14">
        <f t="shared" si="136"/>
        <v>0</v>
      </c>
      <c r="AW241" s="14">
        <f t="shared" si="137"/>
        <v>0</v>
      </c>
      <c r="AX241" s="14">
        <f t="shared" si="138"/>
        <v>0</v>
      </c>
      <c r="AY241" s="13" t="s">
        <v>704</v>
      </c>
      <c r="AZ241" s="13" t="s">
        <v>584</v>
      </c>
      <c r="BA241" s="43" t="s">
        <v>182</v>
      </c>
      <c r="BC241" s="14">
        <f t="shared" si="139"/>
        <v>0</v>
      </c>
      <c r="BD241" s="14">
        <f t="shared" si="140"/>
        <v>0</v>
      </c>
      <c r="BE241" s="14">
        <v>0</v>
      </c>
      <c r="BF241" s="14">
        <f>241</f>
        <v>241</v>
      </c>
      <c r="BH241" s="14">
        <f t="shared" si="141"/>
        <v>0</v>
      </c>
      <c r="BI241" s="14">
        <f t="shared" si="142"/>
        <v>0</v>
      </c>
      <c r="BJ241" s="14">
        <f t="shared" si="143"/>
        <v>0</v>
      </c>
      <c r="BK241" s="14"/>
      <c r="BL241" s="14"/>
      <c r="BW241" s="14">
        <v>21</v>
      </c>
      <c r="BX241" s="4" t="s">
        <v>711</v>
      </c>
    </row>
    <row r="242" spans="1:76" ht="14.5" x14ac:dyDescent="0.35">
      <c r="A242" s="1" t="s">
        <v>712</v>
      </c>
      <c r="B242" s="2" t="s">
        <v>713</v>
      </c>
      <c r="C242" s="81" t="s">
        <v>714</v>
      </c>
      <c r="D242" s="75"/>
      <c r="E242" s="2" t="s">
        <v>189</v>
      </c>
      <c r="F242" s="14">
        <v>16.135000000000002</v>
      </c>
      <c r="G242" s="55">
        <v>0</v>
      </c>
      <c r="H242" s="14">
        <f t="shared" si="120"/>
        <v>0</v>
      </c>
      <c r="I242" s="14">
        <f t="shared" si="121"/>
        <v>0</v>
      </c>
      <c r="J242" s="56">
        <f t="shared" si="122"/>
        <v>0</v>
      </c>
      <c r="Z242" s="14">
        <f t="shared" si="123"/>
        <v>0</v>
      </c>
      <c r="AB242" s="14">
        <f t="shared" si="124"/>
        <v>0</v>
      </c>
      <c r="AC242" s="14">
        <f t="shared" si="125"/>
        <v>0</v>
      </c>
      <c r="AD242" s="14">
        <f t="shared" si="126"/>
        <v>0</v>
      </c>
      <c r="AE242" s="14">
        <f t="shared" si="127"/>
        <v>0</v>
      </c>
      <c r="AF242" s="14">
        <f t="shared" si="128"/>
        <v>0</v>
      </c>
      <c r="AG242" s="14">
        <f t="shared" si="129"/>
        <v>0</v>
      </c>
      <c r="AH242" s="14">
        <f t="shared" si="130"/>
        <v>0</v>
      </c>
      <c r="AI242" s="43" t="s">
        <v>19</v>
      </c>
      <c r="AJ242" s="14">
        <f t="shared" si="131"/>
        <v>0</v>
      </c>
      <c r="AK242" s="14">
        <f t="shared" si="132"/>
        <v>0</v>
      </c>
      <c r="AL242" s="14">
        <f t="shared" si="133"/>
        <v>0</v>
      </c>
      <c r="AN242" s="14">
        <v>21</v>
      </c>
      <c r="AO242" s="14">
        <f t="shared" si="134"/>
        <v>0</v>
      </c>
      <c r="AP242" s="14">
        <f t="shared" si="135"/>
        <v>0</v>
      </c>
      <c r="AQ242" s="13" t="s">
        <v>196</v>
      </c>
      <c r="AV242" s="14">
        <f t="shared" si="136"/>
        <v>0</v>
      </c>
      <c r="AW242" s="14">
        <f t="shared" si="137"/>
        <v>0</v>
      </c>
      <c r="AX242" s="14">
        <f t="shared" si="138"/>
        <v>0</v>
      </c>
      <c r="AY242" s="13" t="s">
        <v>704</v>
      </c>
      <c r="AZ242" s="13" t="s">
        <v>584</v>
      </c>
      <c r="BA242" s="43" t="s">
        <v>182</v>
      </c>
      <c r="BC242" s="14">
        <f t="shared" si="139"/>
        <v>0</v>
      </c>
      <c r="BD242" s="14">
        <f t="shared" si="140"/>
        <v>0</v>
      </c>
      <c r="BE242" s="14">
        <v>0</v>
      </c>
      <c r="BF242" s="14">
        <f>242</f>
        <v>242</v>
      </c>
      <c r="BH242" s="14">
        <f t="shared" si="141"/>
        <v>0</v>
      </c>
      <c r="BI242" s="14">
        <f t="shared" si="142"/>
        <v>0</v>
      </c>
      <c r="BJ242" s="14">
        <f t="shared" si="143"/>
        <v>0</v>
      </c>
      <c r="BK242" s="14"/>
      <c r="BL242" s="14"/>
      <c r="BW242" s="14">
        <v>21</v>
      </c>
      <c r="BX242" s="4" t="s">
        <v>714</v>
      </c>
    </row>
    <row r="243" spans="1:76" ht="14.5" x14ac:dyDescent="0.35">
      <c r="A243" s="1" t="s">
        <v>715</v>
      </c>
      <c r="B243" s="2" t="s">
        <v>716</v>
      </c>
      <c r="C243" s="81" t="s">
        <v>717</v>
      </c>
      <c r="D243" s="75"/>
      <c r="E243" s="2" t="s">
        <v>189</v>
      </c>
      <c r="F243" s="14">
        <v>467.91500000000002</v>
      </c>
      <c r="G243" s="55">
        <v>0</v>
      </c>
      <c r="H243" s="14">
        <f t="shared" si="120"/>
        <v>0</v>
      </c>
      <c r="I243" s="14">
        <f t="shared" si="121"/>
        <v>0</v>
      </c>
      <c r="J243" s="56">
        <f t="shared" si="122"/>
        <v>0</v>
      </c>
      <c r="Z243" s="14">
        <f t="shared" si="123"/>
        <v>0</v>
      </c>
      <c r="AB243" s="14">
        <f t="shared" si="124"/>
        <v>0</v>
      </c>
      <c r="AC243" s="14">
        <f t="shared" si="125"/>
        <v>0</v>
      </c>
      <c r="AD243" s="14">
        <f t="shared" si="126"/>
        <v>0</v>
      </c>
      <c r="AE243" s="14">
        <f t="shared" si="127"/>
        <v>0</v>
      </c>
      <c r="AF243" s="14">
        <f t="shared" si="128"/>
        <v>0</v>
      </c>
      <c r="AG243" s="14">
        <f t="shared" si="129"/>
        <v>0</v>
      </c>
      <c r="AH243" s="14">
        <f t="shared" si="130"/>
        <v>0</v>
      </c>
      <c r="AI243" s="43" t="s">
        <v>19</v>
      </c>
      <c r="AJ243" s="14">
        <f t="shared" si="131"/>
        <v>0</v>
      </c>
      <c r="AK243" s="14">
        <f t="shared" si="132"/>
        <v>0</v>
      </c>
      <c r="AL243" s="14">
        <f t="shared" si="133"/>
        <v>0</v>
      </c>
      <c r="AN243" s="14">
        <v>21</v>
      </c>
      <c r="AO243" s="14">
        <f t="shared" si="134"/>
        <v>0</v>
      </c>
      <c r="AP243" s="14">
        <f t="shared" si="135"/>
        <v>0</v>
      </c>
      <c r="AQ243" s="13" t="s">
        <v>196</v>
      </c>
      <c r="AV243" s="14">
        <f t="shared" si="136"/>
        <v>0</v>
      </c>
      <c r="AW243" s="14">
        <f t="shared" si="137"/>
        <v>0</v>
      </c>
      <c r="AX243" s="14">
        <f t="shared" si="138"/>
        <v>0</v>
      </c>
      <c r="AY243" s="13" t="s">
        <v>704</v>
      </c>
      <c r="AZ243" s="13" t="s">
        <v>584</v>
      </c>
      <c r="BA243" s="43" t="s">
        <v>182</v>
      </c>
      <c r="BC243" s="14">
        <f t="shared" si="139"/>
        <v>0</v>
      </c>
      <c r="BD243" s="14">
        <f t="shared" si="140"/>
        <v>0</v>
      </c>
      <c r="BE243" s="14">
        <v>0</v>
      </c>
      <c r="BF243" s="14">
        <f>243</f>
        <v>243</v>
      </c>
      <c r="BH243" s="14">
        <f t="shared" si="141"/>
        <v>0</v>
      </c>
      <c r="BI243" s="14">
        <f t="shared" si="142"/>
        <v>0</v>
      </c>
      <c r="BJ243" s="14">
        <f t="shared" si="143"/>
        <v>0</v>
      </c>
      <c r="BK243" s="14"/>
      <c r="BL243" s="14"/>
      <c r="BW243" s="14">
        <v>21</v>
      </c>
      <c r="BX243" s="4" t="s">
        <v>717</v>
      </c>
    </row>
    <row r="244" spans="1:76" ht="27" customHeight="1" x14ac:dyDescent="0.35">
      <c r="A244" s="1" t="s">
        <v>718</v>
      </c>
      <c r="B244" s="2" t="s">
        <v>719</v>
      </c>
      <c r="C244" s="81" t="s">
        <v>720</v>
      </c>
      <c r="D244" s="75"/>
      <c r="E244" s="2" t="s">
        <v>189</v>
      </c>
      <c r="F244" s="14">
        <v>12.88617</v>
      </c>
      <c r="G244" s="55">
        <v>0</v>
      </c>
      <c r="H244" s="14">
        <f t="shared" si="120"/>
        <v>0</v>
      </c>
      <c r="I244" s="14">
        <f t="shared" si="121"/>
        <v>0</v>
      </c>
      <c r="J244" s="56">
        <f t="shared" si="122"/>
        <v>0</v>
      </c>
      <c r="Z244" s="14">
        <f t="shared" si="123"/>
        <v>0</v>
      </c>
      <c r="AB244" s="14">
        <f t="shared" si="124"/>
        <v>0</v>
      </c>
      <c r="AC244" s="14">
        <f t="shared" si="125"/>
        <v>0</v>
      </c>
      <c r="AD244" s="14">
        <f t="shared" si="126"/>
        <v>0</v>
      </c>
      <c r="AE244" s="14">
        <f t="shared" si="127"/>
        <v>0</v>
      </c>
      <c r="AF244" s="14">
        <f t="shared" si="128"/>
        <v>0</v>
      </c>
      <c r="AG244" s="14">
        <f t="shared" si="129"/>
        <v>0</v>
      </c>
      <c r="AH244" s="14">
        <f t="shared" si="130"/>
        <v>0</v>
      </c>
      <c r="AI244" s="43" t="s">
        <v>19</v>
      </c>
      <c r="AJ244" s="14">
        <f t="shared" si="131"/>
        <v>0</v>
      </c>
      <c r="AK244" s="14">
        <f t="shared" si="132"/>
        <v>0</v>
      </c>
      <c r="AL244" s="14">
        <f t="shared" si="133"/>
        <v>0</v>
      </c>
      <c r="AN244" s="14">
        <v>21</v>
      </c>
      <c r="AO244" s="14">
        <f t="shared" si="134"/>
        <v>0</v>
      </c>
      <c r="AP244" s="14">
        <f t="shared" si="135"/>
        <v>0</v>
      </c>
      <c r="AQ244" s="13" t="s">
        <v>196</v>
      </c>
      <c r="AV244" s="14">
        <f t="shared" si="136"/>
        <v>0</v>
      </c>
      <c r="AW244" s="14">
        <f t="shared" si="137"/>
        <v>0</v>
      </c>
      <c r="AX244" s="14">
        <f t="shared" si="138"/>
        <v>0</v>
      </c>
      <c r="AY244" s="13" t="s">
        <v>704</v>
      </c>
      <c r="AZ244" s="13" t="s">
        <v>584</v>
      </c>
      <c r="BA244" s="43" t="s">
        <v>182</v>
      </c>
      <c r="BC244" s="14">
        <f t="shared" si="139"/>
        <v>0</v>
      </c>
      <c r="BD244" s="14">
        <f t="shared" si="140"/>
        <v>0</v>
      </c>
      <c r="BE244" s="14">
        <v>0</v>
      </c>
      <c r="BF244" s="14">
        <f>244</f>
        <v>244</v>
      </c>
      <c r="BH244" s="14">
        <f t="shared" si="141"/>
        <v>0</v>
      </c>
      <c r="BI244" s="14">
        <f t="shared" si="142"/>
        <v>0</v>
      </c>
      <c r="BJ244" s="14">
        <f t="shared" si="143"/>
        <v>0</v>
      </c>
      <c r="BK244" s="14"/>
      <c r="BL244" s="14"/>
      <c r="BW244" s="14">
        <v>21</v>
      </c>
      <c r="BX244" s="4" t="s">
        <v>720</v>
      </c>
    </row>
    <row r="245" spans="1:76" ht="14.5" x14ac:dyDescent="0.35">
      <c r="A245" s="1" t="s">
        <v>721</v>
      </c>
      <c r="B245" s="2" t="s">
        <v>722</v>
      </c>
      <c r="C245" s="81" t="s">
        <v>723</v>
      </c>
      <c r="D245" s="75"/>
      <c r="E245" s="2" t="s">
        <v>189</v>
      </c>
      <c r="F245" s="14">
        <v>1.5</v>
      </c>
      <c r="G245" s="55">
        <v>0</v>
      </c>
      <c r="H245" s="14">
        <f t="shared" si="120"/>
        <v>0</v>
      </c>
      <c r="I245" s="14">
        <f t="shared" si="121"/>
        <v>0</v>
      </c>
      <c r="J245" s="56">
        <f t="shared" si="122"/>
        <v>0</v>
      </c>
      <c r="Z245" s="14">
        <f t="shared" si="123"/>
        <v>0</v>
      </c>
      <c r="AB245" s="14">
        <f t="shared" si="124"/>
        <v>0</v>
      </c>
      <c r="AC245" s="14">
        <f t="shared" si="125"/>
        <v>0</v>
      </c>
      <c r="AD245" s="14">
        <f t="shared" si="126"/>
        <v>0</v>
      </c>
      <c r="AE245" s="14">
        <f t="shared" si="127"/>
        <v>0</v>
      </c>
      <c r="AF245" s="14">
        <f t="shared" si="128"/>
        <v>0</v>
      </c>
      <c r="AG245" s="14">
        <f t="shared" si="129"/>
        <v>0</v>
      </c>
      <c r="AH245" s="14">
        <f t="shared" si="130"/>
        <v>0</v>
      </c>
      <c r="AI245" s="43" t="s">
        <v>19</v>
      </c>
      <c r="AJ245" s="14">
        <f t="shared" si="131"/>
        <v>0</v>
      </c>
      <c r="AK245" s="14">
        <f t="shared" si="132"/>
        <v>0</v>
      </c>
      <c r="AL245" s="14">
        <f t="shared" si="133"/>
        <v>0</v>
      </c>
      <c r="AN245" s="14">
        <v>21</v>
      </c>
      <c r="AO245" s="14">
        <f t="shared" si="134"/>
        <v>0</v>
      </c>
      <c r="AP245" s="14">
        <f t="shared" si="135"/>
        <v>0</v>
      </c>
      <c r="AQ245" s="13" t="s">
        <v>196</v>
      </c>
      <c r="AV245" s="14">
        <f t="shared" si="136"/>
        <v>0</v>
      </c>
      <c r="AW245" s="14">
        <f t="shared" si="137"/>
        <v>0</v>
      </c>
      <c r="AX245" s="14">
        <f t="shared" si="138"/>
        <v>0</v>
      </c>
      <c r="AY245" s="13" t="s">
        <v>704</v>
      </c>
      <c r="AZ245" s="13" t="s">
        <v>584</v>
      </c>
      <c r="BA245" s="43" t="s">
        <v>182</v>
      </c>
      <c r="BC245" s="14">
        <f t="shared" si="139"/>
        <v>0</v>
      </c>
      <c r="BD245" s="14">
        <f t="shared" si="140"/>
        <v>0</v>
      </c>
      <c r="BE245" s="14">
        <v>0</v>
      </c>
      <c r="BF245" s="14">
        <f>245</f>
        <v>245</v>
      </c>
      <c r="BH245" s="14">
        <f t="shared" si="141"/>
        <v>0</v>
      </c>
      <c r="BI245" s="14">
        <f t="shared" si="142"/>
        <v>0</v>
      </c>
      <c r="BJ245" s="14">
        <f t="shared" si="143"/>
        <v>0</v>
      </c>
      <c r="BK245" s="14"/>
      <c r="BL245" s="14"/>
      <c r="BW245" s="14">
        <v>21</v>
      </c>
      <c r="BX245" s="4" t="s">
        <v>723</v>
      </c>
    </row>
    <row r="246" spans="1:76" ht="14.5" x14ac:dyDescent="0.35">
      <c r="A246" s="60" t="s">
        <v>19</v>
      </c>
      <c r="B246" s="61" t="s">
        <v>75</v>
      </c>
      <c r="C246" s="165" t="s">
        <v>76</v>
      </c>
      <c r="D246" s="166"/>
      <c r="E246" s="62" t="s">
        <v>3</v>
      </c>
      <c r="F246" s="62" t="s">
        <v>3</v>
      </c>
      <c r="G246" s="69" t="s">
        <v>3</v>
      </c>
      <c r="H246" s="38">
        <f>SUM(H247:H266)</f>
        <v>0</v>
      </c>
      <c r="I246" s="38">
        <f>SUM(I247:I266)</f>
        <v>0</v>
      </c>
      <c r="J246" s="64">
        <f>SUM(J247:J266)</f>
        <v>0</v>
      </c>
      <c r="AI246" s="43" t="s">
        <v>19</v>
      </c>
      <c r="AS246" s="38">
        <f>SUM(AJ247:AJ266)</f>
        <v>0</v>
      </c>
      <c r="AT246" s="38">
        <f>SUM(AK247:AK266)</f>
        <v>0</v>
      </c>
      <c r="AU246" s="38">
        <f>SUM(AL247:AL266)</f>
        <v>0</v>
      </c>
    </row>
    <row r="247" spans="1:76" ht="14.5" x14ac:dyDescent="0.35">
      <c r="A247" s="1" t="s">
        <v>724</v>
      </c>
      <c r="B247" s="2" t="s">
        <v>725</v>
      </c>
      <c r="C247" s="81" t="s">
        <v>726</v>
      </c>
      <c r="D247" s="75"/>
      <c r="E247" s="2" t="s">
        <v>727</v>
      </c>
      <c r="F247" s="14">
        <v>1</v>
      </c>
      <c r="G247" s="55">
        <v>0</v>
      </c>
      <c r="H247" s="14">
        <f>F247*AO247</f>
        <v>0</v>
      </c>
      <c r="I247" s="14">
        <f>F247*AP247</f>
        <v>0</v>
      </c>
      <c r="J247" s="56">
        <f>F247*G247</f>
        <v>0</v>
      </c>
      <c r="Z247" s="14">
        <f>IF(AQ247="5",BJ247,0)</f>
        <v>0</v>
      </c>
      <c r="AB247" s="14">
        <f>IF(AQ247="1",BH247,0)</f>
        <v>0</v>
      </c>
      <c r="AC247" s="14">
        <f>IF(AQ247="1",BI247,0)</f>
        <v>0</v>
      </c>
      <c r="AD247" s="14">
        <f>IF(AQ247="7",BH247,0)</f>
        <v>0</v>
      </c>
      <c r="AE247" s="14">
        <f>IF(AQ247="7",BI247,0)</f>
        <v>0</v>
      </c>
      <c r="AF247" s="14">
        <f>IF(AQ247="2",BH247,0)</f>
        <v>0</v>
      </c>
      <c r="AG247" s="14">
        <f>IF(AQ247="2",BI247,0)</f>
        <v>0</v>
      </c>
      <c r="AH247" s="14">
        <f>IF(AQ247="0",BJ247,0)</f>
        <v>0</v>
      </c>
      <c r="AI247" s="43" t="s">
        <v>19</v>
      </c>
      <c r="AJ247" s="14">
        <f>IF(AN247=0,J247,0)</f>
        <v>0</v>
      </c>
      <c r="AK247" s="14">
        <f>IF(AN247=12,J247,0)</f>
        <v>0</v>
      </c>
      <c r="AL247" s="14">
        <f>IF(AN247=21,J247,0)</f>
        <v>0</v>
      </c>
      <c r="AN247" s="14">
        <v>21</v>
      </c>
      <c r="AO247" s="14">
        <f>G247*0</f>
        <v>0</v>
      </c>
      <c r="AP247" s="14">
        <f>G247*(1-0)</f>
        <v>0</v>
      </c>
      <c r="AQ247" s="13" t="s">
        <v>517</v>
      </c>
      <c r="AV247" s="14">
        <f>AW247+AX247</f>
        <v>0</v>
      </c>
      <c r="AW247" s="14">
        <f>F247*AO247</f>
        <v>0</v>
      </c>
      <c r="AX247" s="14">
        <f>F247*AP247</f>
        <v>0</v>
      </c>
      <c r="AY247" s="13" t="s">
        <v>728</v>
      </c>
      <c r="AZ247" s="13" t="s">
        <v>729</v>
      </c>
      <c r="BA247" s="43" t="s">
        <v>182</v>
      </c>
      <c r="BC247" s="14">
        <f>AW247+AX247</f>
        <v>0</v>
      </c>
      <c r="BD247" s="14">
        <f>G247/(100-BE247)*100</f>
        <v>0</v>
      </c>
      <c r="BE247" s="14">
        <v>0</v>
      </c>
      <c r="BF247" s="14">
        <f>248</f>
        <v>248</v>
      </c>
      <c r="BH247" s="14">
        <f>F247*AO247</f>
        <v>0</v>
      </c>
      <c r="BI247" s="14">
        <f>F247*AP247</f>
        <v>0</v>
      </c>
      <c r="BJ247" s="14">
        <f>F247*G247</f>
        <v>0</v>
      </c>
      <c r="BK247" s="14"/>
      <c r="BL247" s="14"/>
      <c r="BO247" s="14">
        <f>F247*G247</f>
        <v>0</v>
      </c>
      <c r="BW247" s="14">
        <v>21</v>
      </c>
      <c r="BX247" s="4" t="s">
        <v>726</v>
      </c>
    </row>
    <row r="248" spans="1:76" ht="26" x14ac:dyDescent="0.35">
      <c r="A248" s="57"/>
      <c r="B248" s="58" t="s">
        <v>190</v>
      </c>
      <c r="C248" s="154" t="s">
        <v>730</v>
      </c>
      <c r="D248" s="155"/>
      <c r="E248" s="155"/>
      <c r="F248" s="155"/>
      <c r="G248" s="156"/>
      <c r="H248" s="155"/>
      <c r="I248" s="155"/>
      <c r="J248" s="157"/>
      <c r="BX248" s="59" t="s">
        <v>730</v>
      </c>
    </row>
    <row r="249" spans="1:76" ht="14.5" x14ac:dyDescent="0.35">
      <c r="A249" s="1" t="s">
        <v>731</v>
      </c>
      <c r="B249" s="2" t="s">
        <v>732</v>
      </c>
      <c r="C249" s="81" t="s">
        <v>733</v>
      </c>
      <c r="D249" s="75"/>
      <c r="E249" s="2" t="s">
        <v>727</v>
      </c>
      <c r="F249" s="14">
        <v>1</v>
      </c>
      <c r="G249" s="55">
        <v>0</v>
      </c>
      <c r="H249" s="14">
        <f>F249*AO249</f>
        <v>0</v>
      </c>
      <c r="I249" s="14">
        <f>F249*AP249</f>
        <v>0</v>
      </c>
      <c r="J249" s="56">
        <f>F249*G249</f>
        <v>0</v>
      </c>
      <c r="Z249" s="14">
        <f>IF(AQ249="5",BJ249,0)</f>
        <v>0</v>
      </c>
      <c r="AB249" s="14">
        <f>IF(AQ249="1",BH249,0)</f>
        <v>0</v>
      </c>
      <c r="AC249" s="14">
        <f>IF(AQ249="1",BI249,0)</f>
        <v>0</v>
      </c>
      <c r="AD249" s="14">
        <f>IF(AQ249="7",BH249,0)</f>
        <v>0</v>
      </c>
      <c r="AE249" s="14">
        <f>IF(AQ249="7",BI249,0)</f>
        <v>0</v>
      </c>
      <c r="AF249" s="14">
        <f>IF(AQ249="2",BH249,0)</f>
        <v>0</v>
      </c>
      <c r="AG249" s="14">
        <f>IF(AQ249="2",BI249,0)</f>
        <v>0</v>
      </c>
      <c r="AH249" s="14">
        <f>IF(AQ249="0",BJ249,0)</f>
        <v>0</v>
      </c>
      <c r="AI249" s="43" t="s">
        <v>19</v>
      </c>
      <c r="AJ249" s="14">
        <f>IF(AN249=0,J249,0)</f>
        <v>0</v>
      </c>
      <c r="AK249" s="14">
        <f>IF(AN249=12,J249,0)</f>
        <v>0</v>
      </c>
      <c r="AL249" s="14">
        <f>IF(AN249=21,J249,0)</f>
        <v>0</v>
      </c>
      <c r="AN249" s="14">
        <v>21</v>
      </c>
      <c r="AO249" s="14">
        <f>G249*0</f>
        <v>0</v>
      </c>
      <c r="AP249" s="14">
        <f>G249*(1-0)</f>
        <v>0</v>
      </c>
      <c r="AQ249" s="13" t="s">
        <v>517</v>
      </c>
      <c r="AV249" s="14">
        <f>AW249+AX249</f>
        <v>0</v>
      </c>
      <c r="AW249" s="14">
        <f>F249*AO249</f>
        <v>0</v>
      </c>
      <c r="AX249" s="14">
        <f>F249*AP249</f>
        <v>0</v>
      </c>
      <c r="AY249" s="13" t="s">
        <v>728</v>
      </c>
      <c r="AZ249" s="13" t="s">
        <v>729</v>
      </c>
      <c r="BA249" s="43" t="s">
        <v>182</v>
      </c>
      <c r="BC249" s="14">
        <f>AW249+AX249</f>
        <v>0</v>
      </c>
      <c r="BD249" s="14">
        <f>G249/(100-BE249)*100</f>
        <v>0</v>
      </c>
      <c r="BE249" s="14">
        <v>0</v>
      </c>
      <c r="BF249" s="14">
        <f>250</f>
        <v>250</v>
      </c>
      <c r="BH249" s="14">
        <f>F249*AO249</f>
        <v>0</v>
      </c>
      <c r="BI249" s="14">
        <f>F249*AP249</f>
        <v>0</v>
      </c>
      <c r="BJ249" s="14">
        <f>F249*G249</f>
        <v>0</v>
      </c>
      <c r="BK249" s="14"/>
      <c r="BL249" s="14"/>
      <c r="BO249" s="14">
        <f>F249*G249</f>
        <v>0</v>
      </c>
      <c r="BW249" s="14">
        <v>21</v>
      </c>
      <c r="BX249" s="4" t="s">
        <v>733</v>
      </c>
    </row>
    <row r="250" spans="1:76" ht="26" x14ac:dyDescent="0.35">
      <c r="A250" s="57"/>
      <c r="B250" s="58" t="s">
        <v>190</v>
      </c>
      <c r="C250" s="154" t="s">
        <v>734</v>
      </c>
      <c r="D250" s="155"/>
      <c r="E250" s="155"/>
      <c r="F250" s="155"/>
      <c r="G250" s="156"/>
      <c r="H250" s="155"/>
      <c r="I250" s="155"/>
      <c r="J250" s="157"/>
      <c r="BX250" s="59" t="s">
        <v>734</v>
      </c>
    </row>
    <row r="251" spans="1:76" ht="14.5" x14ac:dyDescent="0.35">
      <c r="A251" s="1" t="s">
        <v>735</v>
      </c>
      <c r="B251" s="2" t="s">
        <v>77</v>
      </c>
      <c r="C251" s="81" t="s">
        <v>736</v>
      </c>
      <c r="D251" s="75"/>
      <c r="E251" s="2" t="s">
        <v>727</v>
      </c>
      <c r="F251" s="14">
        <v>1</v>
      </c>
      <c r="G251" s="55">
        <v>0</v>
      </c>
      <c r="H251" s="14">
        <f>F251*AO251</f>
        <v>0</v>
      </c>
      <c r="I251" s="14">
        <f>F251*AP251</f>
        <v>0</v>
      </c>
      <c r="J251" s="56">
        <f>F251*G251</f>
        <v>0</v>
      </c>
      <c r="Z251" s="14">
        <f>IF(AQ251="5",BJ251,0)</f>
        <v>0</v>
      </c>
      <c r="AB251" s="14">
        <f>IF(AQ251="1",BH251,0)</f>
        <v>0</v>
      </c>
      <c r="AC251" s="14">
        <f>IF(AQ251="1",BI251,0)</f>
        <v>0</v>
      </c>
      <c r="AD251" s="14">
        <f>IF(AQ251="7",BH251,0)</f>
        <v>0</v>
      </c>
      <c r="AE251" s="14">
        <f>IF(AQ251="7",BI251,0)</f>
        <v>0</v>
      </c>
      <c r="AF251" s="14">
        <f>IF(AQ251="2",BH251,0)</f>
        <v>0</v>
      </c>
      <c r="AG251" s="14">
        <f>IF(AQ251="2",BI251,0)</f>
        <v>0</v>
      </c>
      <c r="AH251" s="14">
        <f>IF(AQ251="0",BJ251,0)</f>
        <v>0</v>
      </c>
      <c r="AI251" s="43" t="s">
        <v>19</v>
      </c>
      <c r="AJ251" s="14">
        <f>IF(AN251=0,J251,0)</f>
        <v>0</v>
      </c>
      <c r="AK251" s="14">
        <f>IF(AN251=12,J251,0)</f>
        <v>0</v>
      </c>
      <c r="AL251" s="14">
        <f>IF(AN251=21,J251,0)</f>
        <v>0</v>
      </c>
      <c r="AN251" s="14">
        <v>21</v>
      </c>
      <c r="AO251" s="14">
        <f>G251*0</f>
        <v>0</v>
      </c>
      <c r="AP251" s="14">
        <f>G251*(1-0)</f>
        <v>0</v>
      </c>
      <c r="AQ251" s="13" t="s">
        <v>517</v>
      </c>
      <c r="AV251" s="14">
        <f>AW251+AX251</f>
        <v>0</v>
      </c>
      <c r="AW251" s="14">
        <f>F251*AO251</f>
        <v>0</v>
      </c>
      <c r="AX251" s="14">
        <f>F251*AP251</f>
        <v>0</v>
      </c>
      <c r="AY251" s="13" t="s">
        <v>728</v>
      </c>
      <c r="AZ251" s="13" t="s">
        <v>729</v>
      </c>
      <c r="BA251" s="43" t="s">
        <v>182</v>
      </c>
      <c r="BC251" s="14">
        <f>AW251+AX251</f>
        <v>0</v>
      </c>
      <c r="BD251" s="14">
        <f>G251/(100-BE251)*100</f>
        <v>0</v>
      </c>
      <c r="BE251" s="14">
        <v>0</v>
      </c>
      <c r="BF251" s="14">
        <f>252</f>
        <v>252</v>
      </c>
      <c r="BH251" s="14">
        <f>F251*AO251</f>
        <v>0</v>
      </c>
      <c r="BI251" s="14">
        <f>F251*AP251</f>
        <v>0</v>
      </c>
      <c r="BJ251" s="14">
        <f>F251*G251</f>
        <v>0</v>
      </c>
      <c r="BK251" s="14"/>
      <c r="BL251" s="14"/>
      <c r="BO251" s="14">
        <f>F251*G251</f>
        <v>0</v>
      </c>
      <c r="BW251" s="14">
        <v>21</v>
      </c>
      <c r="BX251" s="4" t="s">
        <v>736</v>
      </c>
    </row>
    <row r="252" spans="1:76" ht="26" x14ac:dyDescent="0.35">
      <c r="A252" s="57"/>
      <c r="B252" s="58" t="s">
        <v>190</v>
      </c>
      <c r="C252" s="154" t="s">
        <v>737</v>
      </c>
      <c r="D252" s="155"/>
      <c r="E252" s="155"/>
      <c r="F252" s="155"/>
      <c r="G252" s="156"/>
      <c r="H252" s="155"/>
      <c r="I252" s="155"/>
      <c r="J252" s="157"/>
      <c r="BX252" s="59" t="s">
        <v>737</v>
      </c>
    </row>
    <row r="253" spans="1:76" ht="14.5" x14ac:dyDescent="0.35">
      <c r="A253" s="1" t="s">
        <v>738</v>
      </c>
      <c r="B253" s="2" t="s">
        <v>739</v>
      </c>
      <c r="C253" s="81" t="s">
        <v>740</v>
      </c>
      <c r="D253" s="75"/>
      <c r="E253" s="2" t="s">
        <v>727</v>
      </c>
      <c r="F253" s="14">
        <v>1</v>
      </c>
      <c r="G253" s="55">
        <v>0</v>
      </c>
      <c r="H253" s="14">
        <f>F253*AO253</f>
        <v>0</v>
      </c>
      <c r="I253" s="14">
        <f>F253*AP253</f>
        <v>0</v>
      </c>
      <c r="J253" s="56">
        <f>F253*G253</f>
        <v>0</v>
      </c>
      <c r="Z253" s="14">
        <f>IF(AQ253="5",BJ253,0)</f>
        <v>0</v>
      </c>
      <c r="AB253" s="14">
        <f>IF(AQ253="1",BH253,0)</f>
        <v>0</v>
      </c>
      <c r="AC253" s="14">
        <f>IF(AQ253="1",BI253,0)</f>
        <v>0</v>
      </c>
      <c r="AD253" s="14">
        <f>IF(AQ253="7",BH253,0)</f>
        <v>0</v>
      </c>
      <c r="AE253" s="14">
        <f>IF(AQ253="7",BI253,0)</f>
        <v>0</v>
      </c>
      <c r="AF253" s="14">
        <f>IF(AQ253="2",BH253,0)</f>
        <v>0</v>
      </c>
      <c r="AG253" s="14">
        <f>IF(AQ253="2",BI253,0)</f>
        <v>0</v>
      </c>
      <c r="AH253" s="14">
        <f>IF(AQ253="0",BJ253,0)</f>
        <v>0</v>
      </c>
      <c r="AI253" s="43" t="s">
        <v>19</v>
      </c>
      <c r="AJ253" s="14">
        <f>IF(AN253=0,J253,0)</f>
        <v>0</v>
      </c>
      <c r="AK253" s="14">
        <f>IF(AN253=12,J253,0)</f>
        <v>0</v>
      </c>
      <c r="AL253" s="14">
        <f>IF(AN253=21,J253,0)</f>
        <v>0</v>
      </c>
      <c r="AN253" s="14">
        <v>21</v>
      </c>
      <c r="AO253" s="14">
        <f>G253*0</f>
        <v>0</v>
      </c>
      <c r="AP253" s="14">
        <f>G253*(1-0)</f>
        <v>0</v>
      </c>
      <c r="AQ253" s="13" t="s">
        <v>517</v>
      </c>
      <c r="AV253" s="14">
        <f>AW253+AX253</f>
        <v>0</v>
      </c>
      <c r="AW253" s="14">
        <f>F253*AO253</f>
        <v>0</v>
      </c>
      <c r="AX253" s="14">
        <f>F253*AP253</f>
        <v>0</v>
      </c>
      <c r="AY253" s="13" t="s">
        <v>728</v>
      </c>
      <c r="AZ253" s="13" t="s">
        <v>729</v>
      </c>
      <c r="BA253" s="43" t="s">
        <v>182</v>
      </c>
      <c r="BC253" s="14">
        <f>AW253+AX253</f>
        <v>0</v>
      </c>
      <c r="BD253" s="14">
        <f>G253/(100-BE253)*100</f>
        <v>0</v>
      </c>
      <c r="BE253" s="14">
        <v>0</v>
      </c>
      <c r="BF253" s="14">
        <f>254</f>
        <v>254</v>
      </c>
      <c r="BH253" s="14">
        <f>F253*AO253</f>
        <v>0</v>
      </c>
      <c r="BI253" s="14">
        <f>F253*AP253</f>
        <v>0</v>
      </c>
      <c r="BJ253" s="14">
        <f>F253*G253</f>
        <v>0</v>
      </c>
      <c r="BK253" s="14"/>
      <c r="BL253" s="14"/>
      <c r="BO253" s="14">
        <f>F253*G253</f>
        <v>0</v>
      </c>
      <c r="BW253" s="14">
        <v>21</v>
      </c>
      <c r="BX253" s="4" t="s">
        <v>740</v>
      </c>
    </row>
    <row r="254" spans="1:76" ht="26" x14ac:dyDescent="0.35">
      <c r="A254" s="57"/>
      <c r="B254" s="58" t="s">
        <v>190</v>
      </c>
      <c r="C254" s="154" t="s">
        <v>741</v>
      </c>
      <c r="D254" s="155"/>
      <c r="E254" s="155"/>
      <c r="F254" s="155"/>
      <c r="G254" s="156"/>
      <c r="H254" s="155"/>
      <c r="I254" s="155"/>
      <c r="J254" s="157"/>
      <c r="BX254" s="59" t="s">
        <v>741</v>
      </c>
    </row>
    <row r="255" spans="1:76" ht="14.5" x14ac:dyDescent="0.35">
      <c r="A255" s="1" t="s">
        <v>742</v>
      </c>
      <c r="B255" s="2" t="s">
        <v>743</v>
      </c>
      <c r="C255" s="81" t="s">
        <v>744</v>
      </c>
      <c r="D255" s="75"/>
      <c r="E255" s="2" t="s">
        <v>727</v>
      </c>
      <c r="F255" s="14">
        <v>1</v>
      </c>
      <c r="G255" s="55">
        <v>0</v>
      </c>
      <c r="H255" s="14">
        <f>F255*AO255</f>
        <v>0</v>
      </c>
      <c r="I255" s="14">
        <f>F255*AP255</f>
        <v>0</v>
      </c>
      <c r="J255" s="56">
        <f>F255*G255</f>
        <v>0</v>
      </c>
      <c r="Z255" s="14">
        <f>IF(AQ255="5",BJ255,0)</f>
        <v>0</v>
      </c>
      <c r="AB255" s="14">
        <f>IF(AQ255="1",BH255,0)</f>
        <v>0</v>
      </c>
      <c r="AC255" s="14">
        <f>IF(AQ255="1",BI255,0)</f>
        <v>0</v>
      </c>
      <c r="AD255" s="14">
        <f>IF(AQ255="7",BH255,0)</f>
        <v>0</v>
      </c>
      <c r="AE255" s="14">
        <f>IF(AQ255="7",BI255,0)</f>
        <v>0</v>
      </c>
      <c r="AF255" s="14">
        <f>IF(AQ255="2",BH255,0)</f>
        <v>0</v>
      </c>
      <c r="AG255" s="14">
        <f>IF(AQ255="2",BI255,0)</f>
        <v>0</v>
      </c>
      <c r="AH255" s="14">
        <f>IF(AQ255="0",BJ255,0)</f>
        <v>0</v>
      </c>
      <c r="AI255" s="43" t="s">
        <v>19</v>
      </c>
      <c r="AJ255" s="14">
        <f>IF(AN255=0,J255,0)</f>
        <v>0</v>
      </c>
      <c r="AK255" s="14">
        <f>IF(AN255=12,J255,0)</f>
        <v>0</v>
      </c>
      <c r="AL255" s="14">
        <f>IF(AN255=21,J255,0)</f>
        <v>0</v>
      </c>
      <c r="AN255" s="14">
        <v>21</v>
      </c>
      <c r="AO255" s="14">
        <f>G255*0</f>
        <v>0</v>
      </c>
      <c r="AP255" s="14">
        <f>G255*(1-0)</f>
        <v>0</v>
      </c>
      <c r="AQ255" s="13" t="s">
        <v>517</v>
      </c>
      <c r="AV255" s="14">
        <f>AW255+AX255</f>
        <v>0</v>
      </c>
      <c r="AW255" s="14">
        <f>F255*AO255</f>
        <v>0</v>
      </c>
      <c r="AX255" s="14">
        <f>F255*AP255</f>
        <v>0</v>
      </c>
      <c r="AY255" s="13" t="s">
        <v>728</v>
      </c>
      <c r="AZ255" s="13" t="s">
        <v>729</v>
      </c>
      <c r="BA255" s="43" t="s">
        <v>182</v>
      </c>
      <c r="BC255" s="14">
        <f>AW255+AX255</f>
        <v>0</v>
      </c>
      <c r="BD255" s="14">
        <f>G255/(100-BE255)*100</f>
        <v>0</v>
      </c>
      <c r="BE255" s="14">
        <v>0</v>
      </c>
      <c r="BF255" s="14">
        <f>256</f>
        <v>256</v>
      </c>
      <c r="BH255" s="14">
        <f>F255*AO255</f>
        <v>0</v>
      </c>
      <c r="BI255" s="14">
        <f>F255*AP255</f>
        <v>0</v>
      </c>
      <c r="BJ255" s="14">
        <f>F255*G255</f>
        <v>0</v>
      </c>
      <c r="BK255" s="14"/>
      <c r="BL255" s="14"/>
      <c r="BO255" s="14">
        <f>F255*G255</f>
        <v>0</v>
      </c>
      <c r="BW255" s="14">
        <v>21</v>
      </c>
      <c r="BX255" s="4" t="s">
        <v>744</v>
      </c>
    </row>
    <row r="256" spans="1:76" ht="14.5" x14ac:dyDescent="0.35">
      <c r="A256" s="57"/>
      <c r="B256" s="58" t="s">
        <v>190</v>
      </c>
      <c r="C256" s="154" t="s">
        <v>745</v>
      </c>
      <c r="D256" s="155"/>
      <c r="E256" s="155"/>
      <c r="F256" s="155"/>
      <c r="G256" s="156"/>
      <c r="H256" s="155"/>
      <c r="I256" s="155"/>
      <c r="J256" s="157"/>
      <c r="BX256" s="59" t="s">
        <v>745</v>
      </c>
    </row>
    <row r="257" spans="1:76" ht="14.5" x14ac:dyDescent="0.35">
      <c r="A257" s="1" t="s">
        <v>746</v>
      </c>
      <c r="B257" s="2" t="s">
        <v>747</v>
      </c>
      <c r="C257" s="81" t="s">
        <v>748</v>
      </c>
      <c r="D257" s="75"/>
      <c r="E257" s="2" t="s">
        <v>727</v>
      </c>
      <c r="F257" s="14">
        <v>1</v>
      </c>
      <c r="G257" s="55">
        <v>0</v>
      </c>
      <c r="H257" s="14">
        <f>F257*AO257</f>
        <v>0</v>
      </c>
      <c r="I257" s="14">
        <f>F257*AP257</f>
        <v>0</v>
      </c>
      <c r="J257" s="56">
        <f>F257*G257</f>
        <v>0</v>
      </c>
      <c r="Z257" s="14">
        <f>IF(AQ257="5",BJ257,0)</f>
        <v>0</v>
      </c>
      <c r="AB257" s="14">
        <f>IF(AQ257="1",BH257,0)</f>
        <v>0</v>
      </c>
      <c r="AC257" s="14">
        <f>IF(AQ257="1",BI257,0)</f>
        <v>0</v>
      </c>
      <c r="AD257" s="14">
        <f>IF(AQ257="7",BH257,0)</f>
        <v>0</v>
      </c>
      <c r="AE257" s="14">
        <f>IF(AQ257="7",BI257,0)</f>
        <v>0</v>
      </c>
      <c r="AF257" s="14">
        <f>IF(AQ257="2",BH257,0)</f>
        <v>0</v>
      </c>
      <c r="AG257" s="14">
        <f>IF(AQ257="2",BI257,0)</f>
        <v>0</v>
      </c>
      <c r="AH257" s="14">
        <f>IF(AQ257="0",BJ257,0)</f>
        <v>0</v>
      </c>
      <c r="AI257" s="43" t="s">
        <v>19</v>
      </c>
      <c r="AJ257" s="14">
        <f>IF(AN257=0,J257,0)</f>
        <v>0</v>
      </c>
      <c r="AK257" s="14">
        <f>IF(AN257=12,J257,0)</f>
        <v>0</v>
      </c>
      <c r="AL257" s="14">
        <f>IF(AN257=21,J257,0)</f>
        <v>0</v>
      </c>
      <c r="AN257" s="14">
        <v>21</v>
      </c>
      <c r="AO257" s="14">
        <f>G257*0</f>
        <v>0</v>
      </c>
      <c r="AP257" s="14">
        <f>G257*(1-0)</f>
        <v>0</v>
      </c>
      <c r="AQ257" s="13" t="s">
        <v>517</v>
      </c>
      <c r="AV257" s="14">
        <f>AW257+AX257</f>
        <v>0</v>
      </c>
      <c r="AW257" s="14">
        <f>F257*AO257</f>
        <v>0</v>
      </c>
      <c r="AX257" s="14">
        <f>F257*AP257</f>
        <v>0</v>
      </c>
      <c r="AY257" s="13" t="s">
        <v>728</v>
      </c>
      <c r="AZ257" s="13" t="s">
        <v>729</v>
      </c>
      <c r="BA257" s="43" t="s">
        <v>182</v>
      </c>
      <c r="BC257" s="14">
        <f>AW257+AX257</f>
        <v>0</v>
      </c>
      <c r="BD257" s="14">
        <f>G257/(100-BE257)*100</f>
        <v>0</v>
      </c>
      <c r="BE257" s="14">
        <v>0</v>
      </c>
      <c r="BF257" s="14">
        <f>258</f>
        <v>258</v>
      </c>
      <c r="BH257" s="14">
        <f>F257*AO257</f>
        <v>0</v>
      </c>
      <c r="BI257" s="14">
        <f>F257*AP257</f>
        <v>0</v>
      </c>
      <c r="BJ257" s="14">
        <f>F257*G257</f>
        <v>0</v>
      </c>
      <c r="BK257" s="14"/>
      <c r="BL257" s="14"/>
      <c r="BO257" s="14">
        <f>F257*G257</f>
        <v>0</v>
      </c>
      <c r="BW257" s="14">
        <v>21</v>
      </c>
      <c r="BX257" s="4" t="s">
        <v>748</v>
      </c>
    </row>
    <row r="258" spans="1:76" ht="14.5" x14ac:dyDescent="0.35">
      <c r="A258" s="1" t="s">
        <v>749</v>
      </c>
      <c r="B258" s="2" t="s">
        <v>750</v>
      </c>
      <c r="C258" s="81" t="s">
        <v>751</v>
      </c>
      <c r="D258" s="75"/>
      <c r="E258" s="2" t="s">
        <v>727</v>
      </c>
      <c r="F258" s="14">
        <v>1</v>
      </c>
      <c r="G258" s="55">
        <v>0</v>
      </c>
      <c r="H258" s="14">
        <f>F258*AO258</f>
        <v>0</v>
      </c>
      <c r="I258" s="14">
        <f>F258*AP258</f>
        <v>0</v>
      </c>
      <c r="J258" s="56">
        <f>F258*G258</f>
        <v>0</v>
      </c>
      <c r="Z258" s="14">
        <f>IF(AQ258="5",BJ258,0)</f>
        <v>0</v>
      </c>
      <c r="AB258" s="14">
        <f>IF(AQ258="1",BH258,0)</f>
        <v>0</v>
      </c>
      <c r="AC258" s="14">
        <f>IF(AQ258="1",BI258,0)</f>
        <v>0</v>
      </c>
      <c r="AD258" s="14">
        <f>IF(AQ258="7",BH258,0)</f>
        <v>0</v>
      </c>
      <c r="AE258" s="14">
        <f>IF(AQ258="7",BI258,0)</f>
        <v>0</v>
      </c>
      <c r="AF258" s="14">
        <f>IF(AQ258="2",BH258,0)</f>
        <v>0</v>
      </c>
      <c r="AG258" s="14">
        <f>IF(AQ258="2",BI258,0)</f>
        <v>0</v>
      </c>
      <c r="AH258" s="14">
        <f>IF(AQ258="0",BJ258,0)</f>
        <v>0</v>
      </c>
      <c r="AI258" s="43" t="s">
        <v>19</v>
      </c>
      <c r="AJ258" s="14">
        <f>IF(AN258=0,J258,0)</f>
        <v>0</v>
      </c>
      <c r="AK258" s="14">
        <f>IF(AN258=12,J258,0)</f>
        <v>0</v>
      </c>
      <c r="AL258" s="14">
        <f>IF(AN258=21,J258,0)</f>
        <v>0</v>
      </c>
      <c r="AN258" s="14">
        <v>21</v>
      </c>
      <c r="AO258" s="14">
        <f>G258*0</f>
        <v>0</v>
      </c>
      <c r="AP258" s="14">
        <f>G258*(1-0)</f>
        <v>0</v>
      </c>
      <c r="AQ258" s="13" t="s">
        <v>517</v>
      </c>
      <c r="AV258" s="14">
        <f>AW258+AX258</f>
        <v>0</v>
      </c>
      <c r="AW258" s="14">
        <f>F258*AO258</f>
        <v>0</v>
      </c>
      <c r="AX258" s="14">
        <f>F258*AP258</f>
        <v>0</v>
      </c>
      <c r="AY258" s="13" t="s">
        <v>728</v>
      </c>
      <c r="AZ258" s="13" t="s">
        <v>729</v>
      </c>
      <c r="BA258" s="43" t="s">
        <v>182</v>
      </c>
      <c r="BC258" s="14">
        <f>AW258+AX258</f>
        <v>0</v>
      </c>
      <c r="BD258" s="14">
        <f>G258/(100-BE258)*100</f>
        <v>0</v>
      </c>
      <c r="BE258" s="14">
        <v>0</v>
      </c>
      <c r="BF258" s="14">
        <f>259</f>
        <v>259</v>
      </c>
      <c r="BH258" s="14">
        <f>F258*AO258</f>
        <v>0</v>
      </c>
      <c r="BI258" s="14">
        <f>F258*AP258</f>
        <v>0</v>
      </c>
      <c r="BJ258" s="14">
        <f>F258*G258</f>
        <v>0</v>
      </c>
      <c r="BK258" s="14"/>
      <c r="BL258" s="14"/>
      <c r="BO258" s="14">
        <f>F258*G258</f>
        <v>0</v>
      </c>
      <c r="BW258" s="14">
        <v>21</v>
      </c>
      <c r="BX258" s="4" t="s">
        <v>751</v>
      </c>
    </row>
    <row r="259" spans="1:76" ht="14.5" x14ac:dyDescent="0.35">
      <c r="A259" s="57"/>
      <c r="B259" s="58" t="s">
        <v>190</v>
      </c>
      <c r="C259" s="154" t="s">
        <v>752</v>
      </c>
      <c r="D259" s="155"/>
      <c r="E259" s="155"/>
      <c r="F259" s="155"/>
      <c r="G259" s="156"/>
      <c r="H259" s="155"/>
      <c r="I259" s="155"/>
      <c r="J259" s="157"/>
      <c r="BX259" s="59" t="s">
        <v>752</v>
      </c>
    </row>
    <row r="260" spans="1:76" ht="14.5" x14ac:dyDescent="0.35">
      <c r="A260" s="1" t="s">
        <v>753</v>
      </c>
      <c r="B260" s="2" t="s">
        <v>754</v>
      </c>
      <c r="C260" s="81" t="s">
        <v>755</v>
      </c>
      <c r="D260" s="75"/>
      <c r="E260" s="2" t="s">
        <v>727</v>
      </c>
      <c r="F260" s="14">
        <v>1</v>
      </c>
      <c r="G260" s="55">
        <v>0</v>
      </c>
      <c r="H260" s="14">
        <f>F260*AO260</f>
        <v>0</v>
      </c>
      <c r="I260" s="14">
        <f>F260*AP260</f>
        <v>0</v>
      </c>
      <c r="J260" s="56">
        <f>F260*G260</f>
        <v>0</v>
      </c>
      <c r="Z260" s="14">
        <f>IF(AQ260="5",BJ260,0)</f>
        <v>0</v>
      </c>
      <c r="AB260" s="14">
        <f>IF(AQ260="1",BH260,0)</f>
        <v>0</v>
      </c>
      <c r="AC260" s="14">
        <f>IF(AQ260="1",BI260,0)</f>
        <v>0</v>
      </c>
      <c r="AD260" s="14">
        <f>IF(AQ260="7",BH260,0)</f>
        <v>0</v>
      </c>
      <c r="AE260" s="14">
        <f>IF(AQ260="7",BI260,0)</f>
        <v>0</v>
      </c>
      <c r="AF260" s="14">
        <f>IF(AQ260="2",BH260,0)</f>
        <v>0</v>
      </c>
      <c r="AG260" s="14">
        <f>IF(AQ260="2",BI260,0)</f>
        <v>0</v>
      </c>
      <c r="AH260" s="14">
        <f>IF(AQ260="0",BJ260,0)</f>
        <v>0</v>
      </c>
      <c r="AI260" s="43" t="s">
        <v>19</v>
      </c>
      <c r="AJ260" s="14">
        <f>IF(AN260=0,J260,0)</f>
        <v>0</v>
      </c>
      <c r="AK260" s="14">
        <f>IF(AN260=12,J260,0)</f>
        <v>0</v>
      </c>
      <c r="AL260" s="14">
        <f>IF(AN260=21,J260,0)</f>
        <v>0</v>
      </c>
      <c r="AN260" s="14">
        <v>21</v>
      </c>
      <c r="AO260" s="14">
        <f>G260*0</f>
        <v>0</v>
      </c>
      <c r="AP260" s="14">
        <f>G260*(1-0)</f>
        <v>0</v>
      </c>
      <c r="AQ260" s="13" t="s">
        <v>517</v>
      </c>
      <c r="AV260" s="14">
        <f>AW260+AX260</f>
        <v>0</v>
      </c>
      <c r="AW260" s="14">
        <f>F260*AO260</f>
        <v>0</v>
      </c>
      <c r="AX260" s="14">
        <f>F260*AP260</f>
        <v>0</v>
      </c>
      <c r="AY260" s="13" t="s">
        <v>728</v>
      </c>
      <c r="AZ260" s="13" t="s">
        <v>729</v>
      </c>
      <c r="BA260" s="43" t="s">
        <v>182</v>
      </c>
      <c r="BC260" s="14">
        <f>AW260+AX260</f>
        <v>0</v>
      </c>
      <c r="BD260" s="14">
        <f>G260/(100-BE260)*100</f>
        <v>0</v>
      </c>
      <c r="BE260" s="14">
        <v>0</v>
      </c>
      <c r="BF260" s="14">
        <f>261</f>
        <v>261</v>
      </c>
      <c r="BH260" s="14">
        <f>F260*AO260</f>
        <v>0</v>
      </c>
      <c r="BI260" s="14">
        <f>F260*AP260</f>
        <v>0</v>
      </c>
      <c r="BJ260" s="14">
        <f>F260*G260</f>
        <v>0</v>
      </c>
      <c r="BK260" s="14"/>
      <c r="BL260" s="14"/>
      <c r="BO260" s="14">
        <f>F260*G260</f>
        <v>0</v>
      </c>
      <c r="BW260" s="14">
        <v>21</v>
      </c>
      <c r="BX260" s="4" t="s">
        <v>755</v>
      </c>
    </row>
    <row r="261" spans="1:76" ht="39" x14ac:dyDescent="0.35">
      <c r="A261" s="57"/>
      <c r="B261" s="58" t="s">
        <v>190</v>
      </c>
      <c r="C261" s="154" t="s">
        <v>756</v>
      </c>
      <c r="D261" s="155"/>
      <c r="E261" s="155"/>
      <c r="F261" s="155"/>
      <c r="G261" s="156"/>
      <c r="H261" s="155"/>
      <c r="I261" s="155"/>
      <c r="J261" s="157"/>
      <c r="BX261" s="59" t="s">
        <v>756</v>
      </c>
    </row>
    <row r="262" spans="1:76" ht="14.5" x14ac:dyDescent="0.35">
      <c r="A262" s="1" t="s">
        <v>757</v>
      </c>
      <c r="B262" s="2" t="s">
        <v>758</v>
      </c>
      <c r="C262" s="81" t="s">
        <v>759</v>
      </c>
      <c r="D262" s="75"/>
      <c r="E262" s="2" t="s">
        <v>727</v>
      </c>
      <c r="F262" s="14">
        <v>1</v>
      </c>
      <c r="G262" s="55">
        <v>0</v>
      </c>
      <c r="H262" s="14">
        <f>F262*AO262</f>
        <v>0</v>
      </c>
      <c r="I262" s="14">
        <f>F262*AP262</f>
        <v>0</v>
      </c>
      <c r="J262" s="56">
        <f>F262*G262</f>
        <v>0</v>
      </c>
      <c r="Z262" s="14">
        <f>IF(AQ262="5",BJ262,0)</f>
        <v>0</v>
      </c>
      <c r="AB262" s="14">
        <f>IF(AQ262="1",BH262,0)</f>
        <v>0</v>
      </c>
      <c r="AC262" s="14">
        <f>IF(AQ262="1",BI262,0)</f>
        <v>0</v>
      </c>
      <c r="AD262" s="14">
        <f>IF(AQ262="7",BH262,0)</f>
        <v>0</v>
      </c>
      <c r="AE262" s="14">
        <f>IF(AQ262="7",BI262,0)</f>
        <v>0</v>
      </c>
      <c r="AF262" s="14">
        <f>IF(AQ262="2",BH262,0)</f>
        <v>0</v>
      </c>
      <c r="AG262" s="14">
        <f>IF(AQ262="2",BI262,0)</f>
        <v>0</v>
      </c>
      <c r="AH262" s="14">
        <f>IF(AQ262="0",BJ262,0)</f>
        <v>0</v>
      </c>
      <c r="AI262" s="43" t="s">
        <v>19</v>
      </c>
      <c r="AJ262" s="14">
        <f>IF(AN262=0,J262,0)</f>
        <v>0</v>
      </c>
      <c r="AK262" s="14">
        <f>IF(AN262=12,J262,0)</f>
        <v>0</v>
      </c>
      <c r="AL262" s="14">
        <f>IF(AN262=21,J262,0)</f>
        <v>0</v>
      </c>
      <c r="AN262" s="14">
        <v>21</v>
      </c>
      <c r="AO262" s="14">
        <f>G262*0</f>
        <v>0</v>
      </c>
      <c r="AP262" s="14">
        <f>G262*(1-0)</f>
        <v>0</v>
      </c>
      <c r="AQ262" s="13" t="s">
        <v>517</v>
      </c>
      <c r="AV262" s="14">
        <f>AW262+AX262</f>
        <v>0</v>
      </c>
      <c r="AW262" s="14">
        <f>F262*AO262</f>
        <v>0</v>
      </c>
      <c r="AX262" s="14">
        <f>F262*AP262</f>
        <v>0</v>
      </c>
      <c r="AY262" s="13" t="s">
        <v>728</v>
      </c>
      <c r="AZ262" s="13" t="s">
        <v>729</v>
      </c>
      <c r="BA262" s="43" t="s">
        <v>182</v>
      </c>
      <c r="BC262" s="14">
        <f>AW262+AX262</f>
        <v>0</v>
      </c>
      <c r="BD262" s="14">
        <f>G262/(100-BE262)*100</f>
        <v>0</v>
      </c>
      <c r="BE262" s="14">
        <v>0</v>
      </c>
      <c r="BF262" s="14">
        <f>263</f>
        <v>263</v>
      </c>
      <c r="BH262" s="14">
        <f>F262*AO262</f>
        <v>0</v>
      </c>
      <c r="BI262" s="14">
        <f>F262*AP262</f>
        <v>0</v>
      </c>
      <c r="BJ262" s="14">
        <f>F262*G262</f>
        <v>0</v>
      </c>
      <c r="BK262" s="14"/>
      <c r="BL262" s="14"/>
      <c r="BO262" s="14">
        <f>F262*G262</f>
        <v>0</v>
      </c>
      <c r="BW262" s="14">
        <v>21</v>
      </c>
      <c r="BX262" s="4" t="s">
        <v>759</v>
      </c>
    </row>
    <row r="263" spans="1:76" ht="14.5" x14ac:dyDescent="0.35">
      <c r="A263" s="57"/>
      <c r="B263" s="58" t="s">
        <v>190</v>
      </c>
      <c r="C263" s="154" t="s">
        <v>760</v>
      </c>
      <c r="D263" s="155"/>
      <c r="E263" s="155"/>
      <c r="F263" s="155"/>
      <c r="G263" s="156"/>
      <c r="H263" s="155"/>
      <c r="I263" s="155"/>
      <c r="J263" s="157"/>
      <c r="BX263" s="59" t="s">
        <v>760</v>
      </c>
    </row>
    <row r="264" spans="1:76" ht="14.5" x14ac:dyDescent="0.35">
      <c r="A264" s="1" t="s">
        <v>761</v>
      </c>
      <c r="B264" s="2" t="s">
        <v>762</v>
      </c>
      <c r="C264" s="81" t="s">
        <v>763</v>
      </c>
      <c r="D264" s="75"/>
      <c r="E264" s="2" t="s">
        <v>727</v>
      </c>
      <c r="F264" s="14">
        <v>1</v>
      </c>
      <c r="G264" s="55">
        <v>0</v>
      </c>
      <c r="H264" s="14">
        <f>F264*AO264</f>
        <v>0</v>
      </c>
      <c r="I264" s="14">
        <f>F264*AP264</f>
        <v>0</v>
      </c>
      <c r="J264" s="56">
        <f>F264*G264</f>
        <v>0</v>
      </c>
      <c r="Z264" s="14">
        <f>IF(AQ264="5",BJ264,0)</f>
        <v>0</v>
      </c>
      <c r="AB264" s="14">
        <f>IF(AQ264="1",BH264,0)</f>
        <v>0</v>
      </c>
      <c r="AC264" s="14">
        <f>IF(AQ264="1",BI264,0)</f>
        <v>0</v>
      </c>
      <c r="AD264" s="14">
        <f>IF(AQ264="7",BH264,0)</f>
        <v>0</v>
      </c>
      <c r="AE264" s="14">
        <f>IF(AQ264="7",BI264,0)</f>
        <v>0</v>
      </c>
      <c r="AF264" s="14">
        <f>IF(AQ264="2",BH264,0)</f>
        <v>0</v>
      </c>
      <c r="AG264" s="14">
        <f>IF(AQ264="2",BI264,0)</f>
        <v>0</v>
      </c>
      <c r="AH264" s="14">
        <f>IF(AQ264="0",BJ264,0)</f>
        <v>0</v>
      </c>
      <c r="AI264" s="43" t="s">
        <v>19</v>
      </c>
      <c r="AJ264" s="14">
        <f>IF(AN264=0,J264,0)</f>
        <v>0</v>
      </c>
      <c r="AK264" s="14">
        <f>IF(AN264=12,J264,0)</f>
        <v>0</v>
      </c>
      <c r="AL264" s="14">
        <f>IF(AN264=21,J264,0)</f>
        <v>0</v>
      </c>
      <c r="AN264" s="14">
        <v>21</v>
      </c>
      <c r="AO264" s="14">
        <f>G264*0</f>
        <v>0</v>
      </c>
      <c r="AP264" s="14">
        <f>G264*(1-0)</f>
        <v>0</v>
      </c>
      <c r="AQ264" s="13" t="s">
        <v>517</v>
      </c>
      <c r="AV264" s="14">
        <f>AW264+AX264</f>
        <v>0</v>
      </c>
      <c r="AW264" s="14">
        <f>F264*AO264</f>
        <v>0</v>
      </c>
      <c r="AX264" s="14">
        <f>F264*AP264</f>
        <v>0</v>
      </c>
      <c r="AY264" s="13" t="s">
        <v>728</v>
      </c>
      <c r="AZ264" s="13" t="s">
        <v>729</v>
      </c>
      <c r="BA264" s="43" t="s">
        <v>182</v>
      </c>
      <c r="BC264" s="14">
        <f>AW264+AX264</f>
        <v>0</v>
      </c>
      <c r="BD264" s="14">
        <f>G264/(100-BE264)*100</f>
        <v>0</v>
      </c>
      <c r="BE264" s="14">
        <v>0</v>
      </c>
      <c r="BF264" s="14">
        <f>265</f>
        <v>265</v>
      </c>
      <c r="BH264" s="14">
        <f>F264*AO264</f>
        <v>0</v>
      </c>
      <c r="BI264" s="14">
        <f>F264*AP264</f>
        <v>0</v>
      </c>
      <c r="BJ264" s="14">
        <f>F264*G264</f>
        <v>0</v>
      </c>
      <c r="BK264" s="14"/>
      <c r="BL264" s="14"/>
      <c r="BO264" s="14">
        <f>F264*G264</f>
        <v>0</v>
      </c>
      <c r="BW264" s="14">
        <v>21</v>
      </c>
      <c r="BX264" s="4" t="s">
        <v>763</v>
      </c>
    </row>
    <row r="265" spans="1:76" ht="26" x14ac:dyDescent="0.35">
      <c r="A265" s="57"/>
      <c r="B265" s="58" t="s">
        <v>190</v>
      </c>
      <c r="C265" s="154" t="s">
        <v>764</v>
      </c>
      <c r="D265" s="155"/>
      <c r="E265" s="155"/>
      <c r="F265" s="155"/>
      <c r="G265" s="156"/>
      <c r="H265" s="155"/>
      <c r="I265" s="155"/>
      <c r="J265" s="157"/>
      <c r="BX265" s="59" t="s">
        <v>764</v>
      </c>
    </row>
    <row r="266" spans="1:76" ht="14.5" x14ac:dyDescent="0.35">
      <c r="A266" s="1" t="s">
        <v>765</v>
      </c>
      <c r="B266" s="2" t="s">
        <v>766</v>
      </c>
      <c r="C266" s="81" t="s">
        <v>767</v>
      </c>
      <c r="D266" s="75"/>
      <c r="E266" s="2" t="s">
        <v>727</v>
      </c>
      <c r="F266" s="14">
        <v>1</v>
      </c>
      <c r="G266" s="55">
        <v>0</v>
      </c>
      <c r="H266" s="14">
        <f>F266*AO266</f>
        <v>0</v>
      </c>
      <c r="I266" s="14">
        <f>F266*AP266</f>
        <v>0</v>
      </c>
      <c r="J266" s="56">
        <f>F266*G266</f>
        <v>0</v>
      </c>
      <c r="Z266" s="14">
        <f>IF(AQ266="5",BJ266,0)</f>
        <v>0</v>
      </c>
      <c r="AB266" s="14">
        <f>IF(AQ266="1",BH266,0)</f>
        <v>0</v>
      </c>
      <c r="AC266" s="14">
        <f>IF(AQ266="1",BI266,0)</f>
        <v>0</v>
      </c>
      <c r="AD266" s="14">
        <f>IF(AQ266="7",BH266,0)</f>
        <v>0</v>
      </c>
      <c r="AE266" s="14">
        <f>IF(AQ266="7",BI266,0)</f>
        <v>0</v>
      </c>
      <c r="AF266" s="14">
        <f>IF(AQ266="2",BH266,0)</f>
        <v>0</v>
      </c>
      <c r="AG266" s="14">
        <f>IF(AQ266="2",BI266,0)</f>
        <v>0</v>
      </c>
      <c r="AH266" s="14">
        <f>IF(AQ266="0",BJ266,0)</f>
        <v>0</v>
      </c>
      <c r="AI266" s="43" t="s">
        <v>19</v>
      </c>
      <c r="AJ266" s="14">
        <f>IF(AN266=0,J266,0)</f>
        <v>0</v>
      </c>
      <c r="AK266" s="14">
        <f>IF(AN266=12,J266,0)</f>
        <v>0</v>
      </c>
      <c r="AL266" s="14">
        <f>IF(AN266=21,J266,0)</f>
        <v>0</v>
      </c>
      <c r="AN266" s="14">
        <v>21</v>
      </c>
      <c r="AO266" s="14">
        <f>G266*0</f>
        <v>0</v>
      </c>
      <c r="AP266" s="14">
        <f>G266*(1-0)</f>
        <v>0</v>
      </c>
      <c r="AQ266" s="13" t="s">
        <v>517</v>
      </c>
      <c r="AV266" s="14">
        <f>AW266+AX266</f>
        <v>0</v>
      </c>
      <c r="AW266" s="14">
        <f>F266*AO266</f>
        <v>0</v>
      </c>
      <c r="AX266" s="14">
        <f>F266*AP266</f>
        <v>0</v>
      </c>
      <c r="AY266" s="13" t="s">
        <v>728</v>
      </c>
      <c r="AZ266" s="13" t="s">
        <v>729</v>
      </c>
      <c r="BA266" s="43" t="s">
        <v>182</v>
      </c>
      <c r="BC266" s="14">
        <f>AW266+AX266</f>
        <v>0</v>
      </c>
      <c r="BD266" s="14">
        <f>G266/(100-BE266)*100</f>
        <v>0</v>
      </c>
      <c r="BE266" s="14">
        <v>0</v>
      </c>
      <c r="BF266" s="14">
        <f>267</f>
        <v>267</v>
      </c>
      <c r="BH266" s="14">
        <f>F266*AO266</f>
        <v>0</v>
      </c>
      <c r="BI266" s="14">
        <f>F266*AP266</f>
        <v>0</v>
      </c>
      <c r="BJ266" s="14">
        <f>F266*G266</f>
        <v>0</v>
      </c>
      <c r="BK266" s="14"/>
      <c r="BL266" s="14"/>
      <c r="BO266" s="14">
        <f>F266*G266</f>
        <v>0</v>
      </c>
      <c r="BW266" s="14">
        <v>21</v>
      </c>
      <c r="BX266" s="4" t="s">
        <v>767</v>
      </c>
    </row>
    <row r="267" spans="1:76" ht="26" x14ac:dyDescent="0.35">
      <c r="A267" s="65"/>
      <c r="B267" s="66" t="s">
        <v>190</v>
      </c>
      <c r="C267" s="167" t="s">
        <v>768</v>
      </c>
      <c r="D267" s="168"/>
      <c r="E267" s="168"/>
      <c r="F267" s="168"/>
      <c r="G267" s="169"/>
      <c r="H267" s="168"/>
      <c r="I267" s="168"/>
      <c r="J267" s="170"/>
      <c r="BX267" s="59" t="s">
        <v>768</v>
      </c>
    </row>
    <row r="268" spans="1:76" ht="14.5" x14ac:dyDescent="0.35">
      <c r="H268" s="171" t="s">
        <v>79</v>
      </c>
      <c r="I268" s="171"/>
      <c r="J268" s="67">
        <f>J12+J21+J26+J29+J35+J38+J45+J50+J55+J69+J85+J109+J123+J126+J133+J142+J162+J165+J179+J184+J186+J199+J211+J220+J222+J224+J237+J246</f>
        <v>0</v>
      </c>
    </row>
    <row r="269" spans="1:76" ht="14.5" x14ac:dyDescent="0.35">
      <c r="A269" s="68" t="s">
        <v>125</v>
      </c>
    </row>
    <row r="270" spans="1:76" ht="12.75" customHeight="1" x14ac:dyDescent="0.35">
      <c r="A270" s="81" t="s">
        <v>19</v>
      </c>
      <c r="B270" s="75"/>
      <c r="C270" s="75"/>
      <c r="D270" s="75"/>
      <c r="E270" s="75"/>
      <c r="F270" s="75"/>
      <c r="G270" s="75"/>
      <c r="H270" s="75"/>
      <c r="I270" s="75"/>
      <c r="J270" s="75"/>
    </row>
  </sheetData>
  <sheetProtection algorithmName="SHA-512" hashValue="YhVehsxLnoeOEVcH0fOn7vJC318zG1ZjjrP0Y6bpMUYFwx5e3ZVkLpjz+wbz+SW07s407vTDijHLP3vgbEkgUQ==" saltValue="RadwVZj+m4pYasFdn4CeMg==" spinCount="100000" sheet="1"/>
  <mergeCells count="286">
    <mergeCell ref="A270:J270"/>
    <mergeCell ref="C264:D264"/>
    <mergeCell ref="C265:J265"/>
    <mergeCell ref="C266:D266"/>
    <mergeCell ref="C267:J267"/>
    <mergeCell ref="H268:I268"/>
    <mergeCell ref="C259:J259"/>
    <mergeCell ref="C260:D260"/>
    <mergeCell ref="C261:J261"/>
    <mergeCell ref="C262:D262"/>
    <mergeCell ref="C263:J263"/>
    <mergeCell ref="C254:J254"/>
    <mergeCell ref="C255:D255"/>
    <mergeCell ref="C256:J256"/>
    <mergeCell ref="C257:D257"/>
    <mergeCell ref="C258:D258"/>
    <mergeCell ref="C249:D249"/>
    <mergeCell ref="C250:J250"/>
    <mergeCell ref="C251:D251"/>
    <mergeCell ref="C252:J252"/>
    <mergeCell ref="C253:D253"/>
    <mergeCell ref="C245:D245"/>
    <mergeCell ref="C246:D246"/>
    <mergeCell ref="C247:D247"/>
    <mergeCell ref="C248:J248"/>
    <mergeCell ref="C240:D240"/>
    <mergeCell ref="C241:D241"/>
    <mergeCell ref="C242:D242"/>
    <mergeCell ref="C243:D243"/>
    <mergeCell ref="C244:D244"/>
    <mergeCell ref="C235:D235"/>
    <mergeCell ref="C236:D236"/>
    <mergeCell ref="C237:D237"/>
    <mergeCell ref="C238:D238"/>
    <mergeCell ref="C239:J239"/>
    <mergeCell ref="C230:D230"/>
    <mergeCell ref="C231:D231"/>
    <mergeCell ref="C232:D232"/>
    <mergeCell ref="C233:D233"/>
    <mergeCell ref="C234:D234"/>
    <mergeCell ref="C225:D225"/>
    <mergeCell ref="C226:D226"/>
    <mergeCell ref="C227:D227"/>
    <mergeCell ref="C228:D228"/>
    <mergeCell ref="C229:D229"/>
    <mergeCell ref="C220:D220"/>
    <mergeCell ref="C221:D221"/>
    <mergeCell ref="C222:D222"/>
    <mergeCell ref="C223:D223"/>
    <mergeCell ref="C224:D224"/>
    <mergeCell ref="C215:J215"/>
    <mergeCell ref="C216:D216"/>
    <mergeCell ref="C217:J217"/>
    <mergeCell ref="C218:D218"/>
    <mergeCell ref="C219:J219"/>
    <mergeCell ref="C210:D210"/>
    <mergeCell ref="C211:D211"/>
    <mergeCell ref="C212:D212"/>
    <mergeCell ref="C213:J213"/>
    <mergeCell ref="C214:D214"/>
    <mergeCell ref="C205:J205"/>
    <mergeCell ref="C206:D206"/>
    <mergeCell ref="C207:J207"/>
    <mergeCell ref="C208:D208"/>
    <mergeCell ref="C209:J209"/>
    <mergeCell ref="C200:D200"/>
    <mergeCell ref="C201:J201"/>
    <mergeCell ref="C202:D202"/>
    <mergeCell ref="C203:J203"/>
    <mergeCell ref="C204:D204"/>
    <mergeCell ref="C195:D195"/>
    <mergeCell ref="C196:J196"/>
    <mergeCell ref="C197:D197"/>
    <mergeCell ref="C198:J198"/>
    <mergeCell ref="C199:D199"/>
    <mergeCell ref="C190:D190"/>
    <mergeCell ref="C191:D191"/>
    <mergeCell ref="C192:D192"/>
    <mergeCell ref="C193:D193"/>
    <mergeCell ref="C194:J194"/>
    <mergeCell ref="C185:D185"/>
    <mergeCell ref="C186:D186"/>
    <mergeCell ref="C187:D187"/>
    <mergeCell ref="C188:J188"/>
    <mergeCell ref="C189:D189"/>
    <mergeCell ref="C180:D180"/>
    <mergeCell ref="C181:D181"/>
    <mergeCell ref="C182:D182"/>
    <mergeCell ref="C183:J183"/>
    <mergeCell ref="C184:D184"/>
    <mergeCell ref="C175:D175"/>
    <mergeCell ref="C176:J176"/>
    <mergeCell ref="C177:D177"/>
    <mergeCell ref="C178:D178"/>
    <mergeCell ref="C179:D179"/>
    <mergeCell ref="C170:J170"/>
    <mergeCell ref="C171:D171"/>
    <mergeCell ref="C172:D172"/>
    <mergeCell ref="C173:J173"/>
    <mergeCell ref="C174:D174"/>
    <mergeCell ref="C165:D165"/>
    <mergeCell ref="C166:D166"/>
    <mergeCell ref="C167:J167"/>
    <mergeCell ref="C168:D168"/>
    <mergeCell ref="C169:D169"/>
    <mergeCell ref="C160:D160"/>
    <mergeCell ref="C161:J161"/>
    <mergeCell ref="C162:D162"/>
    <mergeCell ref="C163:D163"/>
    <mergeCell ref="C164:J164"/>
    <mergeCell ref="C155:D155"/>
    <mergeCell ref="C156:J156"/>
    <mergeCell ref="C157:D157"/>
    <mergeCell ref="C158:J158"/>
    <mergeCell ref="C159:D159"/>
    <mergeCell ref="C150:J150"/>
    <mergeCell ref="C151:D151"/>
    <mergeCell ref="C152:J152"/>
    <mergeCell ref="C153:D153"/>
    <mergeCell ref="C154:J154"/>
    <mergeCell ref="C145:D145"/>
    <mergeCell ref="C146:J146"/>
    <mergeCell ref="C147:D147"/>
    <mergeCell ref="C148:J148"/>
    <mergeCell ref="C149:D149"/>
    <mergeCell ref="C140:D140"/>
    <mergeCell ref="C141:J141"/>
    <mergeCell ref="C142:D142"/>
    <mergeCell ref="C143:D143"/>
    <mergeCell ref="C144:J144"/>
    <mergeCell ref="C135:D135"/>
    <mergeCell ref="C136:J136"/>
    <mergeCell ref="C137:D137"/>
    <mergeCell ref="C138:J138"/>
    <mergeCell ref="C139:D139"/>
    <mergeCell ref="C130:D130"/>
    <mergeCell ref="C131:D131"/>
    <mergeCell ref="C132:J132"/>
    <mergeCell ref="C133:D133"/>
    <mergeCell ref="C134:D134"/>
    <mergeCell ref="C125:J125"/>
    <mergeCell ref="C126:D126"/>
    <mergeCell ref="C127:D127"/>
    <mergeCell ref="C128:D128"/>
    <mergeCell ref="C129:J129"/>
    <mergeCell ref="C120:D120"/>
    <mergeCell ref="C121:D121"/>
    <mergeCell ref="C122:D122"/>
    <mergeCell ref="C123:D123"/>
    <mergeCell ref="C124:D124"/>
    <mergeCell ref="C115:D115"/>
    <mergeCell ref="C116:D116"/>
    <mergeCell ref="C117:D117"/>
    <mergeCell ref="C118:D118"/>
    <mergeCell ref="C119:D119"/>
    <mergeCell ref="C110:D110"/>
    <mergeCell ref="C111:D111"/>
    <mergeCell ref="C112:D112"/>
    <mergeCell ref="C113:D113"/>
    <mergeCell ref="C114:D114"/>
    <mergeCell ref="C105:D105"/>
    <mergeCell ref="C106:D106"/>
    <mergeCell ref="C107:J107"/>
    <mergeCell ref="C108:D108"/>
    <mergeCell ref="C109:D109"/>
    <mergeCell ref="C100:D100"/>
    <mergeCell ref="C101:D101"/>
    <mergeCell ref="C102:D102"/>
    <mergeCell ref="C103:D103"/>
    <mergeCell ref="C104:D104"/>
    <mergeCell ref="C95:D95"/>
    <mergeCell ref="C96:D96"/>
    <mergeCell ref="C97:D97"/>
    <mergeCell ref="C98:D98"/>
    <mergeCell ref="C99:D99"/>
    <mergeCell ref="C90:D90"/>
    <mergeCell ref="C91:D91"/>
    <mergeCell ref="C92:D92"/>
    <mergeCell ref="C93:D93"/>
    <mergeCell ref="C94:D94"/>
    <mergeCell ref="C85:D85"/>
    <mergeCell ref="C86:D86"/>
    <mergeCell ref="C87:D87"/>
    <mergeCell ref="C88:D88"/>
    <mergeCell ref="C89:D89"/>
    <mergeCell ref="C80:D80"/>
    <mergeCell ref="C81:D81"/>
    <mergeCell ref="C82:D82"/>
    <mergeCell ref="C83:D83"/>
    <mergeCell ref="C84:D84"/>
    <mergeCell ref="C75:D75"/>
    <mergeCell ref="C76:D76"/>
    <mergeCell ref="C77:D77"/>
    <mergeCell ref="C78:D78"/>
    <mergeCell ref="C79:D79"/>
    <mergeCell ref="C70:D70"/>
    <mergeCell ref="C71:D71"/>
    <mergeCell ref="C72:D72"/>
    <mergeCell ref="C73:D73"/>
    <mergeCell ref="C74:D74"/>
    <mergeCell ref="C65:D65"/>
    <mergeCell ref="C66:D66"/>
    <mergeCell ref="C67:D67"/>
    <mergeCell ref="C68:D68"/>
    <mergeCell ref="C69:D69"/>
    <mergeCell ref="C60:D60"/>
    <mergeCell ref="C61:D61"/>
    <mergeCell ref="C62:D62"/>
    <mergeCell ref="C63:D63"/>
    <mergeCell ref="C64:D64"/>
    <mergeCell ref="C55:D55"/>
    <mergeCell ref="C56:D56"/>
    <mergeCell ref="C57:D57"/>
    <mergeCell ref="C58:D58"/>
    <mergeCell ref="C59:D59"/>
    <mergeCell ref="C50:D50"/>
    <mergeCell ref="C51:D51"/>
    <mergeCell ref="C52:J52"/>
    <mergeCell ref="C53:D53"/>
    <mergeCell ref="C54:J54"/>
    <mergeCell ref="C45:D45"/>
    <mergeCell ref="C46:D46"/>
    <mergeCell ref="C47:J47"/>
    <mergeCell ref="C48:D48"/>
    <mergeCell ref="C49:J49"/>
    <mergeCell ref="C40:J40"/>
    <mergeCell ref="C41:D41"/>
    <mergeCell ref="C42:J42"/>
    <mergeCell ref="C43:D43"/>
    <mergeCell ref="C44:J44"/>
    <mergeCell ref="C36:D36"/>
    <mergeCell ref="C37:J37"/>
    <mergeCell ref="C38:D38"/>
    <mergeCell ref="C39:D39"/>
    <mergeCell ref="C30:D30"/>
    <mergeCell ref="C31:J31"/>
    <mergeCell ref="C32:D32"/>
    <mergeCell ref="C33:J33"/>
    <mergeCell ref="C34:D34"/>
    <mergeCell ref="C27:D27"/>
    <mergeCell ref="C28:J28"/>
    <mergeCell ref="C29:D29"/>
    <mergeCell ref="C20:J20"/>
    <mergeCell ref="C21:D21"/>
    <mergeCell ref="C22:D22"/>
    <mergeCell ref="C23:D23"/>
    <mergeCell ref="C24:J24"/>
    <mergeCell ref="C35:D35"/>
    <mergeCell ref="C18:J18"/>
    <mergeCell ref="C19:D19"/>
    <mergeCell ref="C11:D11"/>
    <mergeCell ref="H10:J10"/>
    <mergeCell ref="C12:D12"/>
    <mergeCell ref="C13:D13"/>
    <mergeCell ref="C14:D14"/>
    <mergeCell ref="C25:D25"/>
    <mergeCell ref="C26:D26"/>
    <mergeCell ref="C10:D10"/>
    <mergeCell ref="C8:D9"/>
    <mergeCell ref="G2:G3"/>
    <mergeCell ref="G4:G5"/>
    <mergeCell ref="G6:G7"/>
    <mergeCell ref="G8:G9"/>
    <mergeCell ref="C15:D15"/>
    <mergeCell ref="C16:J16"/>
    <mergeCell ref="C17:D17"/>
    <mergeCell ref="A1:J1"/>
    <mergeCell ref="A2:B3"/>
    <mergeCell ref="A4:B5"/>
    <mergeCell ref="A6:B7"/>
    <mergeCell ref="A8:B9"/>
    <mergeCell ref="E2:F3"/>
    <mergeCell ref="E4:F5"/>
    <mergeCell ref="E6:F7"/>
    <mergeCell ref="E8:F9"/>
    <mergeCell ref="H2:H3"/>
    <mergeCell ref="H4:H5"/>
    <mergeCell ref="H6:H7"/>
    <mergeCell ref="H8:H9"/>
    <mergeCell ref="C2:D3"/>
    <mergeCell ref="C4:D5"/>
    <mergeCell ref="C6:D7"/>
    <mergeCell ref="I2:J3"/>
    <mergeCell ref="I4:J5"/>
    <mergeCell ref="I6:J7"/>
    <mergeCell ref="I8:J9"/>
  </mergeCells>
  <pageMargins left="0.393999993801117" right="0.393999993801117" top="0.59100002050399802" bottom="0.59100002050399802"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Stavební rozpočet - součet</vt:lpstr>
      <vt:lpstr>Krycí list rozpočtu</vt:lpstr>
      <vt:lpstr>VORN</vt:lpstr>
      <vt:lpstr>Stavební rozpočet</vt:lpstr>
      <vt:lpstr>vorn_sum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Petr Linek</cp:lastModifiedBy>
  <dcterms:created xsi:type="dcterms:W3CDTF">2021-06-10T20:06:38Z</dcterms:created>
  <dcterms:modified xsi:type="dcterms:W3CDTF">2025-05-26T08:33:13Z</dcterms:modified>
</cp:coreProperties>
</file>