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uk\userhome\melnike\My Documents\PD\MK Na Ostrově\v2\"/>
    </mc:Choice>
  </mc:AlternateContent>
  <bookViews>
    <workbookView xWindow="-120" yWindow="-120" windowWidth="29040" windowHeight="15840" activeTab="2"/>
  </bookViews>
  <sheets>
    <sheet name="Rekapitulace stavby" sheetId="1" r:id="rId1"/>
    <sheet name="SO.100 - ČÁST 1" sheetId="6" r:id="rId2"/>
    <sheet name="SO.100 - ČÁST 1 - SJEZD" sheetId="8" r:id="rId3"/>
  </sheets>
  <definedNames>
    <definedName name="_xlnm.Print_Titles" localSheetId="1">'SO.100 - ČÁST 1'!$111:$113</definedName>
    <definedName name="_xlnm.Print_Titles" localSheetId="2">'SO.100 - ČÁST 1 - SJEZD'!$106:$108</definedName>
    <definedName name="_xlnm.Print_Area" localSheetId="0">'Rekapitulace stavby'!$C$3:$AP$68,'Rekapitulace stavby'!$C$75:$AP$92</definedName>
    <definedName name="_xlnm.Print_Area" localSheetId="1">'SO.100 - ČÁST 1'!$C$3:$Q$69,'SO.100 - ČÁST 1'!$C$75:$Q$96,'SO.100 - ČÁST 1'!$C$102:$Q$233</definedName>
    <definedName name="_xlnm.Print_Area" localSheetId="2">'SO.100 - ČÁST 1 - SJEZD'!$C$3:$Q$69,'SO.100 - ČÁST 1 - SJEZD'!$C$75:$Q$91,'SO.100 - ČÁST 1 - SJEZD'!$C$97:$Q$150</definedName>
  </definedNames>
  <calcPr calcId="162913"/>
</workbook>
</file>

<file path=xl/calcChain.xml><?xml version="1.0" encoding="utf-8"?>
<calcChain xmlns="http://schemas.openxmlformats.org/spreadsheetml/2006/main">
  <c r="K188" i="6" l="1"/>
  <c r="L219" i="6" l="1"/>
  <c r="L208" i="6" l="1"/>
  <c r="L158" i="6"/>
  <c r="L116" i="6"/>
  <c r="L166" i="6"/>
  <c r="L200" i="6"/>
  <c r="L151" i="6"/>
  <c r="L120" i="6"/>
  <c r="L174" i="6"/>
  <c r="L124" i="6"/>
  <c r="L184" i="6"/>
  <c r="L149" i="6"/>
  <c r="L150" i="6"/>
  <c r="L157" i="6"/>
  <c r="L130" i="6"/>
  <c r="L190" i="6"/>
  <c r="L134" i="6"/>
  <c r="L191" i="6"/>
  <c r="L138" i="6"/>
  <c r="L192" i="6"/>
  <c r="L142" i="6"/>
  <c r="L196" i="6"/>
  <c r="L204" i="6"/>
  <c r="L212" i="6"/>
  <c r="L162" i="6"/>
  <c r="L217" i="6"/>
  <c r="L218" i="6"/>
  <c r="L223" i="6"/>
  <c r="L220" i="6"/>
  <c r="L221" i="6"/>
  <c r="L146" i="8"/>
  <c r="L144" i="8"/>
  <c r="L134" i="8"/>
  <c r="L132" i="8"/>
  <c r="L130" i="8"/>
  <c r="L128" i="8"/>
  <c r="L126" i="8"/>
  <c r="L124" i="8"/>
  <c r="L119" i="8"/>
  <c r="L117" i="8"/>
  <c r="L115" i="8"/>
  <c r="L113" i="8"/>
  <c r="L111" i="8"/>
  <c r="K147" i="8"/>
  <c r="K146" i="8" s="1"/>
  <c r="O146" i="8" s="1"/>
  <c r="K144" i="8"/>
  <c r="Q144" i="8" s="1"/>
  <c r="K143" i="8"/>
  <c r="K142" i="8" s="1"/>
  <c r="Q142" i="8" s="1"/>
  <c r="K141" i="8"/>
  <c r="K140" i="8" s="1"/>
  <c r="K138" i="8"/>
  <c r="K136" i="8"/>
  <c r="Q136" i="8" s="1"/>
  <c r="K135" i="8"/>
  <c r="K134" i="8" s="1"/>
  <c r="Q134" i="8" s="1"/>
  <c r="K131" i="8"/>
  <c r="K130" i="8" s="1"/>
  <c r="K132" i="8"/>
  <c r="O132" i="8" s="1"/>
  <c r="K129" i="8"/>
  <c r="K128" i="8" s="1"/>
  <c r="Q128" i="8" s="1"/>
  <c r="K127" i="8"/>
  <c r="K126" i="8" s="1"/>
  <c r="K125" i="8"/>
  <c r="K124" i="8" s="1"/>
  <c r="K123" i="8"/>
  <c r="K122" i="8"/>
  <c r="K121" i="8"/>
  <c r="K120" i="8"/>
  <c r="K118" i="8"/>
  <c r="K117" i="8" s="1"/>
  <c r="K116" i="8"/>
  <c r="K115" i="8" s="1"/>
  <c r="K114" i="8"/>
  <c r="K113" i="8" s="1"/>
  <c r="K112" i="8"/>
  <c r="K111" i="8" s="1"/>
  <c r="Q111" i="8" s="1"/>
  <c r="M104" i="8"/>
  <c r="F104" i="8"/>
  <c r="M103" i="8"/>
  <c r="F103" i="8"/>
  <c r="F101" i="8"/>
  <c r="F99" i="8"/>
  <c r="M82" i="8"/>
  <c r="F82" i="8"/>
  <c r="M81" i="8"/>
  <c r="F81" i="8"/>
  <c r="F79" i="8"/>
  <c r="F77" i="8"/>
  <c r="H34" i="8"/>
  <c r="H33" i="8"/>
  <c r="H32" i="8"/>
  <c r="M26" i="8"/>
  <c r="M146" i="8" l="1"/>
  <c r="Q146" i="8"/>
  <c r="M144" i="8"/>
  <c r="O144" i="8"/>
  <c r="O142" i="8"/>
  <c r="M142" i="8"/>
  <c r="K119" i="8"/>
  <c r="O140" i="8"/>
  <c r="M140" i="8"/>
  <c r="Q140" i="8"/>
  <c r="M138" i="8"/>
  <c r="Q138" i="8"/>
  <c r="O138" i="8"/>
  <c r="M136" i="8"/>
  <c r="O136" i="8"/>
  <c r="M134" i="8"/>
  <c r="O134" i="8"/>
  <c r="M132" i="8"/>
  <c r="Q132" i="8"/>
  <c r="Q130" i="8"/>
  <c r="M130" i="8"/>
  <c r="O130" i="8"/>
  <c r="M128" i="8"/>
  <c r="O128" i="8"/>
  <c r="M126" i="8"/>
  <c r="O126" i="8"/>
  <c r="Q126" i="8"/>
  <c r="M124" i="8"/>
  <c r="O124" i="8"/>
  <c r="Q124" i="8"/>
  <c r="Q119" i="8"/>
  <c r="M119" i="8"/>
  <c r="O119" i="8"/>
  <c r="O117" i="8"/>
  <c r="M117" i="8"/>
  <c r="Q117" i="8"/>
  <c r="Q115" i="8"/>
  <c r="O115" i="8"/>
  <c r="M115" i="8"/>
  <c r="Q113" i="8"/>
  <c r="O113" i="8"/>
  <c r="M113" i="8"/>
  <c r="O111" i="8"/>
  <c r="M111" i="8"/>
  <c r="K194" i="6"/>
  <c r="K193" i="6"/>
  <c r="K140" i="6"/>
  <c r="K154" i="6"/>
  <c r="K152" i="6"/>
  <c r="M110" i="8" l="1"/>
  <c r="M109" i="8" s="1"/>
  <c r="O110" i="8"/>
  <c r="Q110" i="8"/>
  <c r="K122" i="6"/>
  <c r="K169" i="6"/>
  <c r="K180" i="6"/>
  <c r="K128" i="6"/>
  <c r="K132" i="6"/>
  <c r="K160" i="6"/>
  <c r="O87" i="8" l="1"/>
  <c r="K172" i="6" l="1"/>
  <c r="K167" i="6"/>
  <c r="K121" i="6"/>
  <c r="K177" i="6"/>
  <c r="K155" i="6"/>
  <c r="K146" i="6"/>
  <c r="K145" i="6"/>
  <c r="K136" i="6"/>
  <c r="K159" i="6"/>
  <c r="K139" i="6"/>
  <c r="K153" i="6"/>
  <c r="K118" i="6"/>
  <c r="K117" i="6"/>
  <c r="K126" i="6"/>
  <c r="O86" i="8" l="1"/>
  <c r="K170" i="6"/>
  <c r="K166" i="6" s="1"/>
  <c r="K171" i="6" s="1"/>
  <c r="K161" i="6"/>
  <c r="K156" i="6"/>
  <c r="K129" i="6"/>
  <c r="K131" i="6"/>
  <c r="K144" i="6"/>
  <c r="K143" i="6"/>
  <c r="K135" i="6"/>
  <c r="K137" i="6" s="1"/>
  <c r="O91" i="8" l="1"/>
  <c r="M25" i="8"/>
  <c r="M28" i="8" s="1"/>
  <c r="AG88" i="1" s="1"/>
  <c r="K157" i="6"/>
  <c r="K158" i="6"/>
  <c r="K147" i="6"/>
  <c r="K141" i="6"/>
  <c r="K138" i="6" s="1"/>
  <c r="M138" i="6" s="1"/>
  <c r="K133" i="6"/>
  <c r="K134" i="6"/>
  <c r="O134" i="6" s="1"/>
  <c r="AN88" i="1" l="1"/>
  <c r="H30" i="8"/>
  <c r="M30" i="8" s="1"/>
  <c r="L36" i="8" s="1"/>
  <c r="Q138" i="6"/>
  <c r="O138" i="6"/>
  <c r="M134" i="6"/>
  <c r="Q134" i="6"/>
  <c r="AR88" i="1" l="1"/>
  <c r="Q230" i="6"/>
  <c r="O230" i="6"/>
  <c r="M230" i="6"/>
  <c r="Q229" i="6"/>
  <c r="O229" i="6"/>
  <c r="M229" i="6"/>
  <c r="Q228" i="6"/>
  <c r="O228" i="6"/>
  <c r="M228" i="6"/>
  <c r="Q227" i="6"/>
  <c r="O227" i="6"/>
  <c r="M227" i="6"/>
  <c r="Q226" i="6"/>
  <c r="O226" i="6"/>
  <c r="M226" i="6"/>
  <c r="Q225" i="6"/>
  <c r="O225" i="6"/>
  <c r="M225" i="6"/>
  <c r="Q222" i="6"/>
  <c r="O222" i="6"/>
  <c r="Q216" i="6"/>
  <c r="O216" i="6"/>
  <c r="K210" i="6"/>
  <c r="K209" i="6"/>
  <c r="N208" i="6"/>
  <c r="K207" i="6"/>
  <c r="K204" i="6" s="1"/>
  <c r="Q204" i="6" s="1"/>
  <c r="K203" i="6"/>
  <c r="K200" i="6" s="1"/>
  <c r="Q200" i="6" s="1"/>
  <c r="K199" i="6"/>
  <c r="K196" i="6" s="1"/>
  <c r="Q196" i="6" s="1"/>
  <c r="K187" i="6"/>
  <c r="K184" i="6" s="1"/>
  <c r="O172" i="6"/>
  <c r="K142" i="6"/>
  <c r="K214" i="6"/>
  <c r="K213" i="6"/>
  <c r="M109" i="6"/>
  <c r="F109" i="6"/>
  <c r="M108" i="6"/>
  <c r="F108" i="6"/>
  <c r="F106" i="6"/>
  <c r="F104" i="6"/>
  <c r="M82" i="6"/>
  <c r="F82" i="6"/>
  <c r="M81" i="6"/>
  <c r="F81" i="6"/>
  <c r="F79" i="6"/>
  <c r="F77" i="6"/>
  <c r="H34" i="6"/>
  <c r="H33" i="6"/>
  <c r="H32" i="6"/>
  <c r="M26" i="6"/>
  <c r="Q224" i="6" l="1"/>
  <c r="O224" i="6"/>
  <c r="M166" i="6"/>
  <c r="K211" i="6"/>
  <c r="K208" i="6" s="1"/>
  <c r="O208" i="6" s="1"/>
  <c r="K124" i="6"/>
  <c r="Q124" i="6" s="1"/>
  <c r="M224" i="6"/>
  <c r="O92" i="6" s="1"/>
  <c r="K195" i="6"/>
  <c r="K190" i="6" s="1"/>
  <c r="M172" i="6"/>
  <c r="M204" i="6"/>
  <c r="O204" i="6"/>
  <c r="K215" i="6"/>
  <c r="K212" i="6" s="1"/>
  <c r="M212" i="6" s="1"/>
  <c r="K119" i="6"/>
  <c r="K116" i="6" s="1"/>
  <c r="K163" i="6"/>
  <c r="K123" i="6"/>
  <c r="K120" i="6" s="1"/>
  <c r="Q120" i="6" s="1"/>
  <c r="K164" i="6"/>
  <c r="K181" i="6"/>
  <c r="Q184" i="6"/>
  <c r="O184" i="6"/>
  <c r="M184" i="6"/>
  <c r="Q142" i="6"/>
  <c r="O142" i="6"/>
  <c r="M142" i="6"/>
  <c r="M158" i="6"/>
  <c r="Q158" i="6"/>
  <c r="O158" i="6"/>
  <c r="M196" i="6"/>
  <c r="K151" i="6"/>
  <c r="O196" i="6"/>
  <c r="Q172" i="6"/>
  <c r="M200" i="6"/>
  <c r="O200" i="6"/>
  <c r="K150" i="6"/>
  <c r="O7" i="8" l="1"/>
  <c r="K174" i="6"/>
  <c r="K182" i="6" s="1"/>
  <c r="K220" i="6"/>
  <c r="M220" i="6" s="1"/>
  <c r="M208" i="6"/>
  <c r="Q208" i="6"/>
  <c r="M124" i="6"/>
  <c r="Q166" i="6"/>
  <c r="Q171" i="6"/>
  <c r="O166" i="6"/>
  <c r="K130" i="6"/>
  <c r="O190" i="6"/>
  <c r="O124" i="6"/>
  <c r="K191" i="6"/>
  <c r="M191" i="6" s="1"/>
  <c r="K192" i="6"/>
  <c r="Q192" i="6" s="1"/>
  <c r="O120" i="6"/>
  <c r="O212" i="6"/>
  <c r="Q212" i="6"/>
  <c r="M120" i="6"/>
  <c r="K165" i="6"/>
  <c r="K162" i="6" s="1"/>
  <c r="O116" i="6"/>
  <c r="Q116" i="6"/>
  <c r="M116" i="6"/>
  <c r="M150" i="6"/>
  <c r="O150" i="6"/>
  <c r="Q150" i="6"/>
  <c r="Q157" i="6"/>
  <c r="O157" i="6"/>
  <c r="M157" i="6"/>
  <c r="O7" i="6"/>
  <c r="Q151" i="6"/>
  <c r="O151" i="6"/>
  <c r="K149" i="6" s="1"/>
  <c r="M151" i="6"/>
  <c r="M101" i="8" l="1"/>
  <c r="M79" i="8"/>
  <c r="Q174" i="6"/>
  <c r="M174" i="6"/>
  <c r="O174" i="6"/>
  <c r="M190" i="6"/>
  <c r="Q190" i="6"/>
  <c r="O171" i="6"/>
  <c r="M171" i="6"/>
  <c r="M130" i="6"/>
  <c r="O130" i="6"/>
  <c r="O115" i="6" s="1"/>
  <c r="Q130" i="6"/>
  <c r="M192" i="6"/>
  <c r="O192" i="6"/>
  <c r="Q191" i="6"/>
  <c r="O191" i="6"/>
  <c r="O182" i="6"/>
  <c r="Q182" i="6"/>
  <c r="Q162" i="6"/>
  <c r="O162" i="6"/>
  <c r="M162" i="6"/>
  <c r="M182" i="6"/>
  <c r="M106" i="6"/>
  <c r="M79" i="6"/>
  <c r="O149" i="6"/>
  <c r="Q149" i="6"/>
  <c r="M149" i="6"/>
  <c r="M189" i="6" l="1"/>
  <c r="O89" i="6" s="1"/>
  <c r="M148" i="6"/>
  <c r="O88" i="6" s="1"/>
  <c r="M115" i="6"/>
  <c r="O87" i="6" s="1"/>
  <c r="Q189" i="6"/>
  <c r="O189" i="6"/>
  <c r="K221" i="6"/>
  <c r="M221" i="6" s="1"/>
  <c r="Q115" i="6"/>
  <c r="O148" i="6"/>
  <c r="Q148" i="6"/>
  <c r="O114" i="6" l="1"/>
  <c r="K223" i="6" s="1"/>
  <c r="M223" i="6" s="1"/>
  <c r="M222" i="6" s="1"/>
  <c r="O91" i="6" s="1"/>
  <c r="K217" i="6"/>
  <c r="M217" i="6" s="1"/>
  <c r="Q114" i="6"/>
  <c r="K218" i="6" l="1"/>
  <c r="M218" i="6" s="1"/>
  <c r="K219" i="6" l="1"/>
  <c r="M219" i="6" s="1"/>
  <c r="M216" i="6" s="1"/>
  <c r="O90" i="6" l="1"/>
  <c r="O86" i="6" s="1"/>
  <c r="M25" i="6" s="1"/>
  <c r="M28" i="6" s="1"/>
  <c r="M114" i="6"/>
  <c r="H30" i="6" l="1"/>
  <c r="M30" i="6" s="1"/>
  <c r="L36" i="6" s="1"/>
  <c r="AG87" i="1"/>
  <c r="AG86" i="1" s="1"/>
  <c r="O96" i="6"/>
  <c r="AK26" i="1" l="1"/>
  <c r="L76" i="1"/>
  <c r="L77" i="1"/>
  <c r="L79" i="1"/>
  <c r="AM79" i="1"/>
  <c r="L81" i="1"/>
  <c r="AM81" i="1"/>
  <c r="L82" i="1"/>
  <c r="AM82" i="1"/>
  <c r="W34" i="1"/>
  <c r="W33" i="1"/>
  <c r="W32" i="1"/>
  <c r="AN87" i="1" l="1"/>
  <c r="AK25" i="1"/>
  <c r="AK28" i="1" s="1"/>
  <c r="W30" i="1" s="1"/>
  <c r="AK30" i="1" s="1"/>
  <c r="AK36" i="1" s="1"/>
  <c r="AR87" i="1" l="1"/>
  <c r="AN86" i="1"/>
  <c r="AG92" i="1"/>
  <c r="AN92" i="1" l="1"/>
</calcChain>
</file>

<file path=xl/sharedStrings.xml><?xml version="1.0" encoding="utf-8"?>
<sst xmlns="http://schemas.openxmlformats.org/spreadsheetml/2006/main" count="648" uniqueCount="252">
  <si>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</si>
  <si>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</si>
  <si>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</si>
  <si>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</si>
  <si>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</si>
  <si>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</si>
  <si>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</si>
  <si>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</si>
  <si>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</si>
  <si>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</si>
  <si>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</si>
  <si>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</si>
  <si>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</si>
  <si>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</si>
  <si>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Chrudim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</si>
  <si>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</si>
  <si>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</si>
  <si>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</si>
  <si>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</si>
  <si>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</si>
  <si>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</si>
  <si>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</si>
  <si>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</si>
  <si>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</si>
  <si>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</si>
  <si>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</si>
  <si>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</si>
  <si>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</si>
  <si>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</si>
  <si>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</si>
  <si>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</si>
  <si>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</si>
  <si>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</si>
  <si>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</si>
  <si>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</si>
  <si>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</si>
  <si>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</si>
  <si>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</si>
  <si>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</si>
  <si>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</si>
  <si>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</si>
  <si>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</si>
  <si>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</si>
  <si>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</si>
  <si>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</si>
  <si>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</si>
  <si>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</si>
  <si>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</si>
  <si>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</si>
  <si>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</si>
  <si>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</si>
  <si>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</si>
  <si>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2) Ostatní náklady ze souhrnného listu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</si>
  <si>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</si>
  <si>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</si>
  <si>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</si>
  <si>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</si>
  <si>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</si>
  <si>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</si>
  <si>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</si>
  <si>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</si>
  <si>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</si>
  <si>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</si>
  <si>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</si>
  <si>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</si>
  <si>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</si>
  <si>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</si>
  <si>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</si>
  <si>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</si>
  <si>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</si>
  <si>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</si>
  <si>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</si>
  <si>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</si>
  <si>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</si>
  <si>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</si>
  <si>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</si>
  <si>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</si>
  <si>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</si>
  <si>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</si>
  <si>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</si>
  <si>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</si>
  <si>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</si>
  <si>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</si>
  <si>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</si>
  <si>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</si>
  <si>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</si>
  <si>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Odstranění asfaltové vrstvy pl.do 50 m2, tl. 5 cm - ručně okolo obrubníku</t>
  </si>
  <si>
    <t>Řezání spáry v asfaltu nebo betonu v tloušťce vrstvy do 5 cm</t>
  </si>
  <si>
    <t>919731121R00</t>
  </si>
  <si>
    <t>Zarovnání styčné plochy živičné tl. do 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</si>
  <si>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</si>
  <si>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</si>
  <si>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</si>
  <si>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</si>
  <si>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</si>
  <si>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</si>
  <si>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919726213R00</t>
  </si>
  <si>
    <t>Těsnění spár krytu letišť zálivkou za tepla</t>
  </si>
  <si>
    <t>979990103R00</t>
  </si>
  <si>
    <t>Poplatek za uložení suti - beton, skupina odpadu 170101</t>
  </si>
  <si>
    <t>979990112R00</t>
  </si>
  <si>
    <t>Poplatek za uložení suti - obal. kamenivo, asfalt, skupina odpadu 170302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</si>
  <si>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</si>
  <si>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</si>
  <si>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</si>
  <si>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</si>
  <si>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</si>
  <si>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</si>
  <si>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919794441R00</t>
  </si>
  <si>
    <t>113202111R00</t>
  </si>
  <si>
    <t>915721111R00</t>
  </si>
  <si>
    <t>915491211R00</t>
  </si>
  <si>
    <t>Osazení vodicího proužku do MC,podkl.C12/15, 25 cm</t>
  </si>
  <si>
    <t>ks</t>
  </si>
  <si>
    <t>998225111R00</t>
  </si>
  <si>
    <t>Přesun hmot, pozemní komunikace, kryt živičný</t>
  </si>
  <si>
    <t>917832111R00</t>
  </si>
  <si>
    <t>Osazení stojat. obrub. bet.bez opěry,lože z C12/15</t>
  </si>
  <si>
    <t>M</t>
  </si>
  <si>
    <t>obrubník betonový silniční 100x150x250 cm</t>
  </si>
  <si>
    <t>113151319R00</t>
  </si>
  <si>
    <t>Fréz.živič.krytu nad 500 m2, s překážkami, tl.10cm</t>
  </si>
  <si>
    <t>etapa 1</t>
  </si>
  <si>
    <t>etapa 2</t>
  </si>
  <si>
    <t>919735112R00</t>
  </si>
  <si>
    <t>979024441R00</t>
  </si>
  <si>
    <t>573231127R00</t>
  </si>
  <si>
    <t>Postřik spojovací z KAE, množství zbytkového asfaltu 0,7 kg/m2</t>
  </si>
  <si>
    <t>572753111R00</t>
  </si>
  <si>
    <t>Vyrovnání povrchu/podkladu krytů asfaltovým betonem</t>
  </si>
  <si>
    <t>917461111R00</t>
  </si>
  <si>
    <r>
      <t>Vytrhání obrub obrubníků silničních -</t>
    </r>
    <r>
      <rPr>
        <sz val="8"/>
        <color rgb="FF0000FF"/>
        <rFont val="Trebuchet MS"/>
        <family val="2"/>
        <charset val="238"/>
      </rPr>
      <t xml:space="preserve"> </t>
    </r>
    <r>
      <rPr>
        <b/>
        <sz val="8"/>
        <color rgb="FF0000FF"/>
        <rFont val="Trebuchet MS"/>
        <family val="2"/>
        <charset val="238"/>
      </rPr>
      <t>žulový krajník</t>
    </r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</si>
  <si>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silniční obrubníky</t>
    </r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</si>
  <si>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přídlažba šířky 250mm</t>
    </r>
  </si>
  <si>
    <r>
      <t xml:space="preserve">Osaz. stoj. obrub. kam. s opěrou, lože z C 12/15 - </t>
    </r>
    <r>
      <rPr>
        <b/>
        <sz val="8"/>
        <color rgb="FF0000FF"/>
        <rFont val="Trebuchet MS"/>
        <family val="2"/>
        <charset val="238"/>
      </rPr>
      <t>žulový krajník</t>
    </r>
  </si>
  <si>
    <t>obrubník betonový silniční přejezdný 100x150x150 cm</t>
  </si>
  <si>
    <t xml:space="preserve">    VRN - Vedlejší rozpočtové náklady - ETAPA 1 a 2</t>
  </si>
  <si>
    <t>POZNÁMKA:</t>
  </si>
  <si>
    <t>Oprava části asfaltového povrchu MK v ulici Na Ostrově v Chrudimi</t>
  </si>
  <si>
    <r>
      <t>Očištění vybour. obrubníků všech loží a výplní</t>
    </r>
    <r>
      <rPr>
        <b/>
        <sz val="8"/>
        <color rgb="FF0000FF"/>
        <rFont val="Trebuchet MS"/>
        <family val="2"/>
        <charset val="238"/>
      </rPr>
      <t xml:space="preserve"> - žulový krajník</t>
    </r>
  </si>
  <si>
    <r>
      <t>Výšková úprava vstupu do 20 cm, zvýšení/snížení mříže</t>
    </r>
    <r>
      <rPr>
        <b/>
        <sz val="8"/>
        <color rgb="FF0000FF"/>
        <rFont val="Trebuchet MS"/>
        <family val="2"/>
        <charset val="238"/>
      </rPr>
      <t xml:space="preserve"> - uliční vpusť</t>
    </r>
  </si>
  <si>
    <t>899232111R00</t>
  </si>
  <si>
    <t>899332111R00</t>
  </si>
  <si>
    <t>899432111R00</t>
  </si>
  <si>
    <r>
      <t>Výšková úprava do 20 cm, zvýšení/snížení krytu šoupěte</t>
    </r>
    <r>
      <rPr>
        <b/>
        <sz val="8"/>
        <color rgb="FF0000FF"/>
        <rFont val="Trebuchet MS"/>
        <family val="2"/>
        <charset val="238"/>
      </rPr>
      <t xml:space="preserve"> - poklop šoupěte a hydrantu</t>
    </r>
  </si>
  <si>
    <r>
      <t>Výšková úprava vstupu do 20 cm, zvýšení/snížení poklopu</t>
    </r>
    <r>
      <rPr>
        <b/>
        <sz val="8"/>
        <color rgb="FF0000FF"/>
        <rFont val="Trebuchet MS"/>
        <family val="2"/>
        <charset val="238"/>
      </rPr>
      <t xml:space="preserve"> - poklop kanalizační šachty</t>
    </r>
  </si>
  <si>
    <t>Vodorovné značení střík.barvou stopčar,zeber atd. - obnová vodorovného značení přechodů</t>
  </si>
  <si>
    <t>3x12/2+3x12/2+3x16/2</t>
  </si>
  <si>
    <t>Oprava části asfaltového povrchu MK v ulici Na Ostrově v Chrudimi - ČÁST 1</t>
  </si>
  <si>
    <t>113151314R00</t>
  </si>
  <si>
    <t>Fréz.živič.krytu nad 500 m2, s překážkami, tl.5 cm</t>
  </si>
  <si>
    <t>Odstranění asfaltové vrstvy pl.do 50 m2, tl. 10 cm - ručně okolo obrubníku</t>
  </si>
  <si>
    <t>239x0,1+14x0,5</t>
  </si>
  <si>
    <t>239-(239x0,1+14x0,5)</t>
  </si>
  <si>
    <t>239x0,25</t>
  </si>
  <si>
    <t>(66+87+125)x0,1</t>
  </si>
  <si>
    <t>113108310R00</t>
  </si>
  <si>
    <t>etapa 1 - VÝMĚNA</t>
  </si>
  <si>
    <t>etapa 1 - NAVÝŠENÍ</t>
  </si>
  <si>
    <t>etapa 2 - NAVÝŠENÍ</t>
  </si>
  <si>
    <t>(87+125)x0,1</t>
  </si>
  <si>
    <t>(22+125)x0,1</t>
  </si>
  <si>
    <t>etapa 2 - VÝMĚNA</t>
  </si>
  <si>
    <t>etapa 1 - OPRAVA</t>
  </si>
  <si>
    <t>etapa 2 - OPRAVA</t>
  </si>
  <si>
    <t>(5+47+58)x0,1</t>
  </si>
  <si>
    <t>6,1+98+5,5</t>
  </si>
  <si>
    <t>Betonová přídlažba 50 x 25 x 8 cm přírodní</t>
  </si>
  <si>
    <t>Před relizací je potřeba dořešit na místě stavby rozsah prací výměnu pásků a betonových obrubníků, opravu žulových krajníků.</t>
  </si>
  <si>
    <t>1184-((66+87+125)x0,1)-239x0,25</t>
  </si>
  <si>
    <t>1184+239</t>
  </si>
  <si>
    <t>263x0,1+22x0,5</t>
  </si>
  <si>
    <t>263-(263x0,1+22x0,5)</t>
  </si>
  <si>
    <t>263x0,25</t>
  </si>
  <si>
    <t>navýšení 2,5%</t>
  </si>
  <si>
    <t>etapa 1 - DOPLNĚNÍ</t>
  </si>
  <si>
    <t>etapa 2 - DOPLNĚNÍ</t>
  </si>
  <si>
    <t>5+4+5,5</t>
  </si>
  <si>
    <t>etapa 1 - SILNIČNÍ</t>
  </si>
  <si>
    <t>etapa 1 - PŘEJEZDNÝ</t>
  </si>
  <si>
    <t>29</t>
  </si>
  <si>
    <t>etapa 2 - SILNIČNÍ</t>
  </si>
  <si>
    <t>577141122R00</t>
  </si>
  <si>
    <t>Beton asfalt. ACL 16+ ložný, š. do 3 m, tl. 5 cm</t>
  </si>
  <si>
    <t>577141112R00</t>
  </si>
  <si>
    <t>Beton asfalt. ACO 11+,nebo ACO 16+,do 3 m, tl.5 cm</t>
  </si>
  <si>
    <t>Úprava ploch kolem hydrantů v živ.krytech do 1 m2 - podkladní vrstvy</t>
  </si>
  <si>
    <t>1183+263</t>
  </si>
  <si>
    <t>(11+58+69+85)x0,1</t>
  </si>
  <si>
    <t>1192-((11+58+69+85)x0,1)-263x0,25</t>
  </si>
  <si>
    <t>5,5+4,5+5,9+7,1+38</t>
  </si>
  <si>
    <t>3+3+3+3+3+9</t>
  </si>
  <si>
    <t>MK v ulici Na Ostrově v Chrudimi - ČÁST 1</t>
  </si>
  <si>
    <t>239+14x0,5</t>
  </si>
  <si>
    <t>263+22x0,5</t>
  </si>
  <si>
    <t>DIO - dopravně inženýrské při realizaci stavby</t>
  </si>
  <si>
    <t>Oprava části asfaltového povrchu MK v ulici Na Ostrově v Chrudimi - ČÁST 1
DOČASNÝ SJEZD</t>
  </si>
  <si>
    <t>Odstranění podkladů pevněných ploch z kameniva stmeleného</t>
  </si>
  <si>
    <t>m3</t>
  </si>
  <si>
    <t>33*0,15+(3*12+1,5)*0,2</t>
  </si>
  <si>
    <t>11332</t>
  </si>
  <si>
    <t>11334</t>
  </si>
  <si>
    <t>Odstranění podkladů pevněných ploch z cement pojivem</t>
  </si>
  <si>
    <t>(3*12+1,5)*0,16</t>
  </si>
  <si>
    <t>12283</t>
  </si>
  <si>
    <t>Odkopávky a prokopávky obecné třídy II</t>
  </si>
  <si>
    <t>(0,8*12)+(1,5*0,22)</t>
  </si>
  <si>
    <t>17180</t>
  </si>
  <si>
    <t>Uložení sypaniny do násypů z nakupovaných materiálů</t>
  </si>
  <si>
    <t>18120</t>
  </si>
  <si>
    <t>Úprava pláně se zhutněním v hornině třídy II</t>
  </si>
  <si>
    <t>Edef,2=30MPa</t>
  </si>
  <si>
    <t>Edef,2=45MPa</t>
  </si>
  <si>
    <t>Edef,2=50MPa</t>
  </si>
  <si>
    <t>Edef,2=60MPa</t>
  </si>
  <si>
    <t>(3,5*12)+1,5</t>
  </si>
  <si>
    <t>(3,0*12)+1,5</t>
  </si>
  <si>
    <t>562141</t>
  </si>
  <si>
    <t>Vozovkové vrstvy z materiálů stabilizovaných cementem třídy II do 200mm</t>
  </si>
  <si>
    <t>Vozovkové vrstvy ze štěrkodrti tloušťky do 150mm</t>
  </si>
  <si>
    <t>3*12+1,5</t>
  </si>
  <si>
    <t>56333</t>
  </si>
  <si>
    <t>56334</t>
  </si>
  <si>
    <t>Vozovkové vrstvy ze štěrkodrti tloušťky do 200mm</t>
  </si>
  <si>
    <t xml:space="preserve">    VRN - Vedlejší rozpočtové náklady - ETAPA 1</t>
  </si>
  <si>
    <t>582612</t>
  </si>
  <si>
    <t>Kryty z beton dlaždic se zámkem šedých tl. 80mm do lože kam</t>
  </si>
  <si>
    <t>33*30% - nepoužitelná dlažba</t>
  </si>
  <si>
    <t>58261B</t>
  </si>
  <si>
    <t>Kryty z beton dlaždic se zámkem berv reliéf tl. 80mm do lože kam</t>
  </si>
  <si>
    <t>3,5</t>
  </si>
  <si>
    <t>587206</t>
  </si>
  <si>
    <t>Předláždění krytu z betonových dlaždic se zámkem - zpětné použití</t>
  </si>
  <si>
    <t>33+29,5+3,5</t>
  </si>
  <si>
    <t>914122</t>
  </si>
  <si>
    <t>Dopravní značky základní velikosti ocelové fólie tř 1 - montáž s přemístěním</t>
  </si>
  <si>
    <t>Dopravní značky základní velikosti ocelové fólie tř 1 - demontáž</t>
  </si>
  <si>
    <t>914123</t>
  </si>
  <si>
    <t>915401</t>
  </si>
  <si>
    <t>Vodorovní dopravní značení beton prefabrik - dodávka a pokládka</t>
  </si>
  <si>
    <t>0,25*12</t>
  </si>
  <si>
    <t>915402</t>
  </si>
  <si>
    <t>Vodorovní dopravní značení beton prefabrik - odstranění</t>
  </si>
  <si>
    <t>917427</t>
  </si>
  <si>
    <t>Chodníkové obruby z kamenných obrubníků šíř 30mm - nepoužitelné obruby</t>
  </si>
  <si>
    <t>2</t>
  </si>
  <si>
    <t>91782</t>
  </si>
  <si>
    <t>Výšková úprava obrubníků kamenných - navrácení snížené obruy a zvýšené obruby</t>
  </si>
  <si>
    <t>12+12</t>
  </si>
  <si>
    <t>Jedná se o vybudování dočasného sjezdu a zpětné navrácení do původního stavu.</t>
  </si>
  <si>
    <t>znak cyklistů - etapa 1</t>
  </si>
  <si>
    <t>znak cyklistů - etapa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</si>
</sst>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b/>
      <sz val="12"/>
      <name val="Trebuchet MS"/>
      <family val="2"/>
      <charset val="238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  <font>
      <sz val="8"/>
      <color rgb="FF0000FF"/>
      <name val="Trebuchet MS"/>
      <family val="2"/>
      <charset val="238"/>
    </font>
    <font>
      <b/>
      <sz val="8"/>
      <color rgb="FF0000FF"/>
      <name val="Trebuchet MS"/>
      <family val="2"/>
      <charset val="238"/>
    </font>
    <font>
      <b/>
      <sz val="5"/>
      <color rgb="FF003366"/>
      <name val="Trebuchet MS"/>
      <family val="2"/>
    </font>
    <font>
      <b/>
      <u/>
      <sz val="8"/>
      <name val="Trebuchet MS"/>
      <family val="2"/>
      <charset val="238"/>
    </font>
    <font>
      <sz val="18"/>
      <name val="Trebuchet MS"/>
      <family val="2"/>
    </font>
    <font>
      <b/>
      <sz val="9"/>
      <color rgb="FF0000FF"/>
      <name val="Trebuchet MS"/>
      <family val="2"/>
      <charset val="238"/>
    </font>
    <font>
      <sz val="15"/>
      <name val="Trebuchet MS"/>
      <family val="2"/>
    </font>
    <font>
      <b/>
      <sz val="10"/>
      <color rgb="FF0000FF"/>
      <name val="Trebuchet MS"/>
      <family val="2"/>
      <charset val="238"/>
    </font>
    <font>
      <sz val="8"/>
      <name val="Calibri"/>
      <family val="2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0" fillId="0" borderId="0"/>
  </cellStyleXfs>
  <cellXfs count="365"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8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3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2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8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2" fillId="0" borderId="10" xfId="0" applyFont="1" applyBorder="1"/>
    <xf numFmtId="0" fontId="22" fillId="0" borderId="0" xfId="0" applyFont="1"/>
    <xf numFmtId="167" fontId="22" fillId="0" borderId="0" xfId="0" applyNumberFormat="1" applyFont="1"/>
    <xf numFmtId="0" fontId="11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2" fillId="0" borderId="11" xfId="0" applyFont="1" applyBorder="1"/>
    <xf numFmtId="0" fontId="1" fillId="0" borderId="27" xfId="0" applyFont="1" applyBorder="1" applyAlignment="1">
      <alignment vertical="center"/>
    </xf>
    <xf numFmtId="167" fontId="23" fillId="0" borderId="0" xfId="0" applyNumberFormat="1" applyFont="1"/>
    <xf numFmtId="0" fontId="12" fillId="0" borderId="0" xfId="0" applyFont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3" fontId="2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167" fontId="25" fillId="0" borderId="0" xfId="0" applyNumberFormat="1" applyFont="1" applyAlignment="1">
      <alignment vertical="center"/>
    </xf>
    <xf numFmtId="0" fontId="28" fillId="0" borderId="0" xfId="0" applyFont="1"/>
    <xf numFmtId="0" fontId="28" fillId="0" borderId="31" xfId="0" applyFont="1" applyBorder="1"/>
    <xf numFmtId="4" fontId="22" fillId="0" borderId="0" xfId="0" applyNumberFormat="1" applyFont="1" applyAlignment="1">
      <alignment horizontal="left"/>
    </xf>
    <xf numFmtId="167" fontId="28" fillId="0" borderId="0" xfId="0" applyNumberFormat="1" applyFont="1"/>
    <xf numFmtId="0" fontId="28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5" fillId="0" borderId="30" xfId="0" applyNumberFormat="1" applyFont="1" applyBorder="1" applyAlignment="1" applyProtection="1">
      <alignment horizontal="right" vertical="center"/>
      <protection locked="0"/>
    </xf>
    <xf numFmtId="167" fontId="25" fillId="0" borderId="32" xfId="0" applyNumberFormat="1" applyFont="1" applyBorder="1" applyAlignment="1">
      <alignment vertical="center"/>
    </xf>
    <xf numFmtId="167" fontId="25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0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3" fontId="25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49" fontId="25" fillId="0" borderId="30" xfId="0" applyNumberFormat="1" applyFont="1" applyBorder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49" fontId="25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vertical="center"/>
      <protection locked="0"/>
    </xf>
    <xf numFmtId="3" fontId="1" fillId="0" borderId="3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7" fontId="29" fillId="0" borderId="4" xfId="0" applyNumberFormat="1" applyFont="1" applyBorder="1" applyAlignment="1">
      <alignment vertical="center"/>
    </xf>
    <xf numFmtId="4" fontId="29" fillId="5" borderId="4" xfId="0" applyNumberFormat="1" applyFont="1" applyFill="1" applyBorder="1" applyAlignment="1">
      <alignment vertical="center"/>
    </xf>
    <xf numFmtId="166" fontId="29" fillId="0" borderId="4" xfId="0" applyNumberFormat="1" applyFont="1" applyBorder="1" applyAlignment="1">
      <alignment vertical="center"/>
    </xf>
    <xf numFmtId="49" fontId="29" fillId="0" borderId="4" xfId="0" applyNumberFormat="1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4" fontId="29" fillId="0" borderId="4" xfId="0" applyNumberFormat="1" applyFont="1" applyBorder="1" applyAlignment="1" applyProtection="1">
      <alignment vertical="center"/>
      <protection locked="0"/>
    </xf>
    <xf numFmtId="3" fontId="29" fillId="0" borderId="4" xfId="0" applyNumberFormat="1" applyFont="1" applyBorder="1" applyAlignment="1" applyProtection="1">
      <alignment vertical="center"/>
      <protection locked="0"/>
    </xf>
    <xf numFmtId="0" fontId="33" fillId="0" borderId="0" xfId="0" applyFont="1"/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49" fontId="25" fillId="0" borderId="32" xfId="0" applyNumberFormat="1" applyFont="1" applyBorder="1" applyAlignment="1">
      <alignment horizontal="right" vertical="center"/>
    </xf>
    <xf numFmtId="166" fontId="13" fillId="0" borderId="34" xfId="0" applyNumberFormat="1" applyFont="1" applyBorder="1" applyAlignment="1">
      <alignment vertical="center"/>
    </xf>
    <xf numFmtId="167" fontId="13" fillId="0" borderId="34" xfId="0" applyNumberFormat="1" applyFont="1" applyBorder="1" applyAlignment="1">
      <alignment vertical="center"/>
    </xf>
    <xf numFmtId="167" fontId="1" fillId="7" borderId="1" xfId="0" applyNumberFormat="1" applyFont="1" applyFill="1" applyBorder="1" applyAlignment="1">
      <alignment vertical="center"/>
    </xf>
    <xf numFmtId="167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5" fillId="0" borderId="32" xfId="0" applyNumberFormat="1" applyFont="1" applyBorder="1" applyAlignment="1" applyProtection="1">
      <alignment vertical="center" wrapText="1"/>
      <protection locked="0"/>
    </xf>
    <xf numFmtId="4" fontId="25" fillId="0" borderId="30" xfId="0" applyNumberFormat="1" applyFont="1" applyBorder="1" applyAlignment="1" applyProtection="1">
      <alignment horizontal="right" vertical="center"/>
      <protection locked="0"/>
    </xf>
    <xf numFmtId="4" fontId="25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vertical="center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0" fontId="1" fillId="0" borderId="31" xfId="0" applyFont="1" applyBorder="1"/>
    <xf numFmtId="0" fontId="1" fillId="0" borderId="33" xfId="0" applyFont="1" applyBorder="1"/>
    <xf numFmtId="0" fontId="29" fillId="0" borderId="1" xfId="0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vertical="center"/>
    </xf>
    <xf numFmtId="4" fontId="29" fillId="5" borderId="1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29" fillId="0" borderId="2" xfId="0" applyFont="1" applyBorder="1" applyAlignment="1" applyProtection="1">
      <alignment horizontal="center" vertical="center" wrapText="1"/>
      <protection locked="0"/>
    </xf>
    <xf numFmtId="4" fontId="29" fillId="0" borderId="2" xfId="0" applyNumberFormat="1" applyFont="1" applyBorder="1" applyAlignment="1" applyProtection="1">
      <alignment vertical="center"/>
      <protection locked="0"/>
    </xf>
    <xf numFmtId="4" fontId="29" fillId="5" borderId="2" xfId="0" applyNumberFormat="1" applyFont="1" applyFill="1" applyBorder="1" applyAlignment="1">
      <alignment vertical="center"/>
    </xf>
    <xf numFmtId="3" fontId="29" fillId="0" borderId="2" xfId="0" applyNumberFormat="1" applyFont="1" applyBorder="1" applyAlignment="1" applyProtection="1">
      <alignment vertical="center"/>
      <protection locked="0"/>
    </xf>
    <xf numFmtId="166" fontId="29" fillId="0" borderId="2" xfId="0" applyNumberFormat="1" applyFont="1" applyBorder="1" applyAlignment="1">
      <alignment vertical="center"/>
    </xf>
    <xf numFmtId="167" fontId="29" fillId="0" borderId="2" xfId="0" applyNumberFormat="1" applyFont="1" applyBorder="1" applyAlignment="1">
      <alignment vertical="center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4" fontId="36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 applyProtection="1">
      <alignment horizontal="left" vertical="center" wrapText="1"/>
      <protection locked="0"/>
    </xf>
    <xf numFmtId="49" fontId="29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 applyProtection="1">
      <alignment vertical="center"/>
      <protection locked="0"/>
    </xf>
    <xf numFmtId="0" fontId="1" fillId="0" borderId="34" xfId="0" applyFont="1" applyBorder="1" applyAlignment="1">
      <alignment vertical="center"/>
    </xf>
    <xf numFmtId="49" fontId="25" fillId="0" borderId="34" xfId="0" applyNumberFormat="1" applyFont="1" applyBorder="1" applyAlignment="1">
      <alignment horizontal="left" vertical="center"/>
    </xf>
    <xf numFmtId="49" fontId="25" fillId="0" borderId="34" xfId="0" applyNumberFormat="1" applyFont="1" applyBorder="1" applyAlignment="1" applyProtection="1">
      <alignment vertical="center"/>
      <protection locked="0"/>
    </xf>
    <xf numFmtId="167" fontId="25" fillId="0" borderId="34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10" fontId="2" fillId="4" borderId="1" xfId="0" applyNumberFormat="1" applyFont="1" applyFill="1" applyBorder="1" applyAlignment="1">
      <alignment horizontal="center" vertical="center" wrapText="1"/>
    </xf>
    <xf numFmtId="10" fontId="37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25" fillId="0" borderId="32" xfId="0" applyNumberFormat="1" applyFont="1" applyBorder="1" applyAlignment="1" applyProtection="1">
      <alignment horizontal="right" vertical="center"/>
      <protection locked="0"/>
    </xf>
    <xf numFmtId="0" fontId="25" fillId="0" borderId="32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3" fontId="40" fillId="8" borderId="0" xfId="0" applyNumberFormat="1" applyFont="1" applyFill="1" applyAlignment="1">
      <alignment vertical="center"/>
    </xf>
    <xf numFmtId="3" fontId="40" fillId="8" borderId="34" xfId="0" applyNumberFormat="1" applyFont="1" applyFill="1" applyBorder="1" applyAlignment="1">
      <alignment vertical="center"/>
    </xf>
    <xf numFmtId="3" fontId="41" fillId="8" borderId="0" xfId="0" applyNumberFormat="1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25" fillId="0" borderId="32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5" fillId="0" borderId="32" xfId="0" applyNumberFormat="1" applyFont="1" applyBorder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2">
    <cellStyle name="Normální" xfId="0" builtinId="0"/>
    <cellStyle name="Normální 2" xfId="1"/>
  </cellStyles>
  <dxfs count="0"/>
  <tableStyles count="0"/>
  <colors>
    <mruColors>
      <color rgb="FF0000FF"/>
      <color rgb="FF66FF66"/>
      <color rgb="FF66CCFF"/>
      <color rgb="FF92D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BD93"/>
  <sheetViews>
    <sheetView showGridLines="0" workbookViewId="0">
      <selection activeCell="AU101" sqref="AU101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7" customWidth="1"/>
    <col min="45" max="45" width="14.7109375" bestFit="1" customWidth="1"/>
    <col min="46" max="46" width="3.7109375" customWidth="1"/>
    <col min="47" max="47" width="11.7109375" bestFit="1" customWidth="1"/>
    <col min="48" max="48" width="10.140625" bestFit="1" customWidth="1"/>
    <col min="51" max="69" width="0" hidden="1" customWidth="1"/>
  </cols>
  <sheetData>
    <row r="1" spans="2:52" ht="36.950000000000003" customHeight="1" x14ac:dyDescent="0.3">
      <c r="C1" s="316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Y1" s="8"/>
      <c r="AZ1" s="8"/>
    </row>
    <row r="2" spans="2:52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Y2" s="8" t="s">
        <v>1</v>
      </c>
      <c r="AZ2" s="8" t="s">
        <v>2</v>
      </c>
    </row>
    <row r="3" spans="2:52" ht="36.950000000000003" customHeight="1" x14ac:dyDescent="0.3">
      <c r="B3" s="12"/>
      <c r="C3" s="294" t="s">
        <v>3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13"/>
      <c r="AY3" s="8" t="s">
        <v>4</v>
      </c>
    </row>
    <row r="4" spans="2:52" ht="14.45" customHeight="1" x14ac:dyDescent="0.3">
      <c r="B4" s="12"/>
      <c r="D4" s="14" t="s">
        <v>5</v>
      </c>
      <c r="K4" s="318" t="s">
        <v>6</v>
      </c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Q4" s="13"/>
      <c r="AY4" s="8" t="s">
        <v>1</v>
      </c>
    </row>
    <row r="5" spans="2:52" ht="36.950000000000003" customHeight="1" x14ac:dyDescent="0.3">
      <c r="B5" s="12"/>
      <c r="D5" s="16" t="s">
        <v>7</v>
      </c>
      <c r="K5" s="319" t="s">
        <v>138</v>
      </c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Q5" s="13"/>
      <c r="AY5" s="8" t="s">
        <v>8</v>
      </c>
    </row>
    <row r="6" spans="2:52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AY6" s="8" t="s">
        <v>12</v>
      </c>
    </row>
    <row r="7" spans="2:52" ht="14.45" customHeight="1" x14ac:dyDescent="0.3">
      <c r="B7" s="12"/>
      <c r="D7" s="17" t="s">
        <v>13</v>
      </c>
      <c r="K7" s="15" t="s">
        <v>14</v>
      </c>
      <c r="AK7" s="17" t="s">
        <v>15</v>
      </c>
      <c r="AN7" s="133">
        <v>45803</v>
      </c>
      <c r="AQ7" s="13"/>
      <c r="AY7" s="8" t="s">
        <v>16</v>
      </c>
    </row>
    <row r="8" spans="2:52" ht="14.45" customHeight="1" x14ac:dyDescent="0.3">
      <c r="B8" s="12"/>
      <c r="AQ8" s="13"/>
      <c r="AY8" s="8" t="s">
        <v>17</v>
      </c>
    </row>
    <row r="9" spans="2:52" ht="14.45" customHeight="1" x14ac:dyDescent="0.3">
      <c r="B9" s="12"/>
      <c r="D9" s="17" t="s">
        <v>18</v>
      </c>
      <c r="AK9" s="17" t="s">
        <v>19</v>
      </c>
      <c r="AN9" s="15" t="s">
        <v>10</v>
      </c>
      <c r="AQ9" s="13"/>
      <c r="AY9" s="8" t="s">
        <v>8</v>
      </c>
    </row>
    <row r="10" spans="2:52" ht="18.399999999999999" customHeight="1" x14ac:dyDescent="0.3">
      <c r="B10" s="12"/>
      <c r="E10" s="15" t="s">
        <v>20</v>
      </c>
      <c r="AK10" s="17" t="s">
        <v>21</v>
      </c>
      <c r="AN10" s="15" t="s">
        <v>10</v>
      </c>
      <c r="AQ10" s="13"/>
      <c r="AY10" s="8" t="s">
        <v>8</v>
      </c>
    </row>
    <row r="11" spans="2:52" ht="6.95" customHeight="1" x14ac:dyDescent="0.3">
      <c r="B11" s="12"/>
      <c r="AQ11" s="13"/>
      <c r="AY11" s="8" t="s">
        <v>8</v>
      </c>
    </row>
    <row r="12" spans="2:52" ht="14.45" customHeight="1" x14ac:dyDescent="0.3">
      <c r="B12" s="12"/>
      <c r="D12" s="17" t="s">
        <v>22</v>
      </c>
      <c r="AK12" s="17" t="s">
        <v>19</v>
      </c>
      <c r="AN12" s="15" t="s">
        <v>10</v>
      </c>
      <c r="AQ12" s="13"/>
      <c r="AY12" s="8" t="s">
        <v>8</v>
      </c>
    </row>
    <row r="13" spans="2:52" ht="15" x14ac:dyDescent="0.3">
      <c r="B13" s="12"/>
      <c r="E13" s="15" t="s">
        <v>20</v>
      </c>
      <c r="AK13" s="17" t="s">
        <v>21</v>
      </c>
      <c r="AN13" s="15" t="s">
        <v>10</v>
      </c>
      <c r="AQ13" s="13"/>
      <c r="AY13" s="8" t="s">
        <v>8</v>
      </c>
    </row>
    <row r="14" spans="2:52" ht="6.95" customHeight="1" x14ac:dyDescent="0.3">
      <c r="B14" s="12"/>
      <c r="AQ14" s="13"/>
      <c r="AY14" s="8" t="s">
        <v>0</v>
      </c>
    </row>
    <row r="15" spans="2:52" ht="14.45" customHeight="1" x14ac:dyDescent="0.3">
      <c r="B15" s="12"/>
      <c r="D15" s="17" t="s">
        <v>23</v>
      </c>
      <c r="AK15" s="17" t="s">
        <v>19</v>
      </c>
      <c r="AN15" s="15" t="s">
        <v>10</v>
      </c>
      <c r="AQ15" s="13"/>
      <c r="AY15" s="8" t="s">
        <v>0</v>
      </c>
    </row>
    <row r="16" spans="2:52" ht="18.399999999999999" customHeight="1" x14ac:dyDescent="0.3">
      <c r="B16" s="12"/>
      <c r="E16" s="15" t="s">
        <v>20</v>
      </c>
      <c r="AK16" s="17" t="s">
        <v>21</v>
      </c>
      <c r="AN16" s="15" t="s">
        <v>10</v>
      </c>
      <c r="AQ16" s="13"/>
      <c r="AY16" s="8" t="s">
        <v>24</v>
      </c>
    </row>
    <row r="17" spans="2:51" ht="6.95" customHeight="1" x14ac:dyDescent="0.3">
      <c r="B17" s="12"/>
      <c r="AQ17" s="13"/>
      <c r="AY17" s="8" t="s">
        <v>1</v>
      </c>
    </row>
    <row r="18" spans="2:51" ht="14.45" customHeight="1" x14ac:dyDescent="0.3">
      <c r="B18" s="12"/>
      <c r="D18" s="17" t="s">
        <v>25</v>
      </c>
      <c r="AK18" s="17" t="s">
        <v>19</v>
      </c>
      <c r="AN18" s="15" t="s">
        <v>10</v>
      </c>
      <c r="AQ18" s="13"/>
      <c r="AY18" s="8" t="s">
        <v>1</v>
      </c>
    </row>
    <row r="19" spans="2:51" ht="18.399999999999999" customHeight="1" x14ac:dyDescent="0.3">
      <c r="B19" s="12"/>
      <c r="E19" s="15" t="s">
        <v>20</v>
      </c>
      <c r="AK19" s="17" t="s">
        <v>21</v>
      </c>
      <c r="AN19" s="15" t="s">
        <v>10</v>
      </c>
      <c r="AQ19" s="13"/>
    </row>
    <row r="20" spans="2:51" ht="6.95" customHeight="1" x14ac:dyDescent="0.3">
      <c r="B20" s="12"/>
      <c r="AQ20" s="13"/>
    </row>
    <row r="21" spans="2:51" ht="15" x14ac:dyDescent="0.3">
      <c r="B21" s="12"/>
      <c r="D21" s="17" t="s">
        <v>26</v>
      </c>
      <c r="AQ21" s="13"/>
    </row>
    <row r="22" spans="2:51" ht="22.5" customHeight="1" x14ac:dyDescent="0.3">
      <c r="B22" s="12"/>
      <c r="E22" s="320" t="s">
        <v>10</v>
      </c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Q22" s="13"/>
    </row>
    <row r="23" spans="2:51" ht="6.95" customHeight="1" x14ac:dyDescent="0.3">
      <c r="B23" s="12"/>
      <c r="AQ23" s="13"/>
    </row>
    <row r="24" spans="2:51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49"/>
      <c r="AL24" s="149"/>
      <c r="AM24" s="149"/>
      <c r="AN24" s="149"/>
      <c r="AO24" s="149"/>
      <c r="AQ24" s="13"/>
    </row>
    <row r="25" spans="2:51" ht="14.45" customHeight="1" x14ac:dyDescent="0.3">
      <c r="B25" s="12"/>
      <c r="D25" s="19" t="s">
        <v>27</v>
      </c>
      <c r="AK25" s="321">
        <f>ROUND(AG86,2)</f>
        <v>0</v>
      </c>
      <c r="AL25" s="322"/>
      <c r="AM25" s="322"/>
      <c r="AN25" s="322"/>
      <c r="AO25" s="322"/>
      <c r="AQ25" s="13"/>
    </row>
    <row r="26" spans="2:51" ht="14.45" customHeight="1" x14ac:dyDescent="0.3">
      <c r="B26" s="12"/>
      <c r="D26" s="19" t="s">
        <v>28</v>
      </c>
      <c r="AK26" s="321">
        <f>ROUND(AG90,2)</f>
        <v>0</v>
      </c>
      <c r="AL26" s="322"/>
      <c r="AM26" s="322"/>
      <c r="AN26" s="322"/>
      <c r="AO26" s="322"/>
      <c r="AQ26" s="13"/>
    </row>
    <row r="27" spans="2:51" s="1" customFormat="1" ht="6.95" customHeight="1" x14ac:dyDescent="0.25">
      <c r="B27" s="20"/>
      <c r="AK27" s="87"/>
      <c r="AL27" s="87"/>
      <c r="AM27" s="87"/>
      <c r="AN27" s="87"/>
      <c r="AO27" s="87"/>
      <c r="AQ27" s="21"/>
    </row>
    <row r="28" spans="2:51" s="1" customFormat="1" ht="25.9" customHeight="1" x14ac:dyDescent="0.25">
      <c r="B28" s="20"/>
      <c r="D28" s="22" t="s">
        <v>29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314">
        <f>ROUND(AK25+AK26,2)</f>
        <v>0</v>
      </c>
      <c r="AL28" s="315"/>
      <c r="AM28" s="315"/>
      <c r="AN28" s="315"/>
      <c r="AO28" s="315"/>
      <c r="AQ28" s="21"/>
    </row>
    <row r="29" spans="2:51" s="1" customFormat="1" ht="6.95" customHeight="1" x14ac:dyDescent="0.25">
      <c r="B29" s="20"/>
      <c r="AK29" s="87"/>
      <c r="AL29" s="87"/>
      <c r="AM29" s="87"/>
      <c r="AN29" s="87"/>
      <c r="AO29" s="87"/>
      <c r="AQ29" s="21"/>
    </row>
    <row r="30" spans="2:51" s="2" customFormat="1" ht="14.45" customHeight="1" x14ac:dyDescent="0.25">
      <c r="B30" s="24"/>
      <c r="D30" s="25" t="s">
        <v>30</v>
      </c>
      <c r="F30" s="25" t="s">
        <v>31</v>
      </c>
      <c r="L30" s="309">
        <v>0.21</v>
      </c>
      <c r="M30" s="310"/>
      <c r="N30" s="310"/>
      <c r="O30" s="310"/>
      <c r="T30" s="26" t="s">
        <v>32</v>
      </c>
      <c r="W30" s="312">
        <f>AK28</f>
        <v>0</v>
      </c>
      <c r="X30" s="313"/>
      <c r="Y30" s="313"/>
      <c r="Z30" s="313"/>
      <c r="AA30" s="313"/>
      <c r="AB30" s="313"/>
      <c r="AC30" s="313"/>
      <c r="AD30" s="313"/>
      <c r="AE30" s="313"/>
      <c r="AK30" s="312">
        <f>W30*L30</f>
        <v>0</v>
      </c>
      <c r="AL30" s="313"/>
      <c r="AM30" s="313"/>
      <c r="AN30" s="313"/>
      <c r="AO30" s="313"/>
      <c r="AQ30" s="27"/>
    </row>
    <row r="31" spans="2:51" s="2" customFormat="1" ht="14.45" customHeight="1" x14ac:dyDescent="0.25">
      <c r="B31" s="24"/>
      <c r="F31" s="25" t="s">
        <v>33</v>
      </c>
      <c r="L31" s="309">
        <v>0.12</v>
      </c>
      <c r="M31" s="310"/>
      <c r="N31" s="310"/>
      <c r="O31" s="310"/>
      <c r="T31" s="26" t="s">
        <v>32</v>
      </c>
      <c r="W31" s="311"/>
      <c r="X31" s="310"/>
      <c r="Y31" s="310"/>
      <c r="Z31" s="310"/>
      <c r="AA31" s="310"/>
      <c r="AB31" s="310"/>
      <c r="AC31" s="310"/>
      <c r="AD31" s="310"/>
      <c r="AE31" s="310"/>
      <c r="AK31" s="312"/>
      <c r="AL31" s="313"/>
      <c r="AM31" s="313"/>
      <c r="AN31" s="313"/>
      <c r="AO31" s="313"/>
      <c r="AQ31" s="27"/>
    </row>
    <row r="32" spans="2:51" s="2" customFormat="1" ht="14.45" hidden="1" customHeight="1" x14ac:dyDescent="0.25">
      <c r="B32" s="24"/>
      <c r="F32" s="25" t="s">
        <v>34</v>
      </c>
      <c r="L32" s="309">
        <v>0.21</v>
      </c>
      <c r="M32" s="310"/>
      <c r="N32" s="310"/>
      <c r="O32" s="310"/>
      <c r="T32" s="26" t="s">
        <v>32</v>
      </c>
      <c r="W32" s="311" t="e">
        <f>ROUND(#REF!+SUM(BL91:BL91),2)</f>
        <v>#REF!</v>
      </c>
      <c r="X32" s="310"/>
      <c r="Y32" s="310"/>
      <c r="Z32" s="310"/>
      <c r="AA32" s="310"/>
      <c r="AB32" s="310"/>
      <c r="AC32" s="310"/>
      <c r="AD32" s="310"/>
      <c r="AE32" s="310"/>
      <c r="AK32" s="312">
        <v>0</v>
      </c>
      <c r="AL32" s="313"/>
      <c r="AM32" s="313"/>
      <c r="AN32" s="313"/>
      <c r="AO32" s="313"/>
      <c r="AQ32" s="27"/>
    </row>
    <row r="33" spans="2:43" s="2" customFormat="1" ht="14.45" hidden="1" customHeight="1" x14ac:dyDescent="0.25">
      <c r="B33" s="24"/>
      <c r="F33" s="25" t="s">
        <v>35</v>
      </c>
      <c r="L33" s="309">
        <v>0.15</v>
      </c>
      <c r="M33" s="310"/>
      <c r="N33" s="310"/>
      <c r="O33" s="310"/>
      <c r="T33" s="26" t="s">
        <v>32</v>
      </c>
      <c r="W33" s="311" t="e">
        <f>ROUND(#REF!+SUM(BM91:BM91),2)</f>
        <v>#REF!</v>
      </c>
      <c r="X33" s="310"/>
      <c r="Y33" s="310"/>
      <c r="Z33" s="310"/>
      <c r="AA33" s="310"/>
      <c r="AB33" s="310"/>
      <c r="AC33" s="310"/>
      <c r="AD33" s="310"/>
      <c r="AE33" s="310"/>
      <c r="AK33" s="312">
        <v>0</v>
      </c>
      <c r="AL33" s="313"/>
      <c r="AM33" s="313"/>
      <c r="AN33" s="313"/>
      <c r="AO33" s="313"/>
      <c r="AQ33" s="27"/>
    </row>
    <row r="34" spans="2:43" s="2" customFormat="1" ht="14.45" hidden="1" customHeight="1" x14ac:dyDescent="0.25">
      <c r="B34" s="24"/>
      <c r="F34" s="25" t="s">
        <v>36</v>
      </c>
      <c r="L34" s="309">
        <v>0</v>
      </c>
      <c r="M34" s="310"/>
      <c r="N34" s="310"/>
      <c r="O34" s="310"/>
      <c r="T34" s="26" t="s">
        <v>32</v>
      </c>
      <c r="W34" s="311" t="e">
        <f>ROUND(#REF!+SUM(BN91:BN91),2)</f>
        <v>#REF!</v>
      </c>
      <c r="X34" s="310"/>
      <c r="Y34" s="310"/>
      <c r="Z34" s="310"/>
      <c r="AA34" s="310"/>
      <c r="AB34" s="310"/>
      <c r="AC34" s="310"/>
      <c r="AD34" s="310"/>
      <c r="AE34" s="310"/>
      <c r="AK34" s="312">
        <v>0</v>
      </c>
      <c r="AL34" s="313"/>
      <c r="AM34" s="313"/>
      <c r="AN34" s="313"/>
      <c r="AO34" s="313"/>
      <c r="AQ34" s="27"/>
    </row>
    <row r="35" spans="2:43" s="1" customFormat="1" ht="6.95" customHeight="1" x14ac:dyDescent="0.25">
      <c r="B35" s="20"/>
      <c r="AK35" s="87"/>
      <c r="AL35" s="87"/>
      <c r="AM35" s="87"/>
      <c r="AN35" s="87"/>
      <c r="AO35" s="87"/>
      <c r="AQ35" s="21"/>
    </row>
    <row r="36" spans="2:43" s="1" customFormat="1" ht="25.9" customHeight="1" x14ac:dyDescent="0.25">
      <c r="B36" s="20"/>
      <c r="D36" s="28" t="s">
        <v>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38</v>
      </c>
      <c r="U36" s="29"/>
      <c r="V36" s="29"/>
      <c r="W36" s="29"/>
      <c r="X36" s="289" t="s">
        <v>39</v>
      </c>
      <c r="Y36" s="290"/>
      <c r="Z36" s="290"/>
      <c r="AA36" s="290"/>
      <c r="AB36" s="290"/>
      <c r="AC36" s="29"/>
      <c r="AD36" s="29"/>
      <c r="AE36" s="29"/>
      <c r="AF36" s="29"/>
      <c r="AG36" s="29"/>
      <c r="AH36" s="29"/>
      <c r="AI36" s="29"/>
      <c r="AJ36" s="29"/>
      <c r="AK36" s="291">
        <f>SUM(AK28:AK34)</f>
        <v>0</v>
      </c>
      <c r="AL36" s="292"/>
      <c r="AM36" s="292"/>
      <c r="AN36" s="292"/>
      <c r="AO36" s="293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294" t="s">
        <v>46</v>
      </c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36.950000000000003" customHeight="1" x14ac:dyDescent="0.25">
      <c r="B77" s="48"/>
      <c r="C77" s="49" t="s">
        <v>7</v>
      </c>
      <c r="L77" s="302" t="str">
        <f>K5</f>
        <v>Oprava části asfaltového povrchu MK v ulici Na Ostrově v Chrudimi</v>
      </c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>Chrudim</v>
      </c>
      <c r="AI79" s="17" t="s">
        <v>15</v>
      </c>
      <c r="AM79" s="301">
        <f xml:space="preserve"> IF(AN7= "","",AN7)</f>
        <v>45803</v>
      </c>
      <c r="AN79" s="301"/>
      <c r="AQ79" s="21"/>
    </row>
    <row r="80" spans="2:43" s="1" customFormat="1" ht="6.95" customHeight="1" x14ac:dyDescent="0.25">
      <c r="B80" s="20"/>
      <c r="AQ80" s="21"/>
    </row>
    <row r="81" spans="2:56" s="1" customFormat="1" ht="15" x14ac:dyDescent="0.25">
      <c r="B81" s="20"/>
      <c r="C81" s="17" t="s">
        <v>18</v>
      </c>
      <c r="L81" s="3" t="str">
        <f>IF(E10= "","",E10)</f>
        <v xml:space="preserve"> </v>
      </c>
      <c r="AI81" s="17" t="s">
        <v>23</v>
      </c>
      <c r="AM81" s="296" t="str">
        <f>IF(E16="","",E16)</f>
        <v xml:space="preserve"> </v>
      </c>
      <c r="AN81" s="295"/>
      <c r="AO81" s="295"/>
      <c r="AP81" s="295"/>
      <c r="AQ81" s="21"/>
    </row>
    <row r="82" spans="2:56" s="1" customFormat="1" ht="15" x14ac:dyDescent="0.25">
      <c r="B82" s="20"/>
      <c r="C82" s="17" t="s">
        <v>22</v>
      </c>
      <c r="L82" s="3" t="str">
        <f>IF(E13="","",E13)</f>
        <v xml:space="preserve"> </v>
      </c>
      <c r="AI82" s="17" t="s">
        <v>25</v>
      </c>
      <c r="AM82" s="296" t="str">
        <f>IF(E19="","",E19)</f>
        <v xml:space="preserve"> </v>
      </c>
      <c r="AN82" s="295"/>
      <c r="AO82" s="295"/>
      <c r="AP82" s="295"/>
      <c r="AQ82" s="21"/>
    </row>
    <row r="83" spans="2:56" s="1" customFormat="1" ht="10.9" customHeight="1" x14ac:dyDescent="0.25">
      <c r="B83" s="20"/>
      <c r="AQ83" s="21"/>
    </row>
    <row r="84" spans="2:56" s="1" customFormat="1" ht="29.25" customHeight="1" x14ac:dyDescent="0.25">
      <c r="B84" s="20"/>
      <c r="C84" s="297" t="s">
        <v>47</v>
      </c>
      <c r="D84" s="298"/>
      <c r="E84" s="298"/>
      <c r="F84" s="298"/>
      <c r="G84" s="298"/>
      <c r="H84" s="52"/>
      <c r="I84" s="299" t="s">
        <v>48</v>
      </c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9" t="s">
        <v>49</v>
      </c>
      <c r="AH84" s="298"/>
      <c r="AI84" s="298"/>
      <c r="AJ84" s="298"/>
      <c r="AK84" s="298"/>
      <c r="AL84" s="298"/>
      <c r="AM84" s="298"/>
      <c r="AN84" s="299" t="s">
        <v>50</v>
      </c>
      <c r="AO84" s="298"/>
      <c r="AP84" s="300"/>
      <c r="AQ84" s="21"/>
      <c r="AS84" s="275"/>
      <c r="AT84" s="276"/>
    </row>
    <row r="85" spans="2:56" s="1" customFormat="1" ht="10.9" customHeight="1" x14ac:dyDescent="0.25">
      <c r="B85" s="20"/>
      <c r="AQ85" s="21"/>
    </row>
    <row r="86" spans="2:56" s="4" customFormat="1" ht="32.450000000000003" customHeight="1" x14ac:dyDescent="0.25">
      <c r="B86" s="48"/>
      <c r="C86" s="53" t="s">
        <v>51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306">
        <f>ROUND(AG87+AG88,2)</f>
        <v>0</v>
      </c>
      <c r="AH86" s="306"/>
      <c r="AI86" s="306"/>
      <c r="AJ86" s="306"/>
      <c r="AK86" s="306"/>
      <c r="AL86" s="306"/>
      <c r="AM86" s="306"/>
      <c r="AN86" s="304">
        <f>AG86*1.21</f>
        <v>0</v>
      </c>
      <c r="AO86" s="304"/>
      <c r="AP86" s="304"/>
      <c r="AQ86" s="50"/>
      <c r="AU86" s="281"/>
      <c r="AY86" s="49"/>
      <c r="AZ86" s="49"/>
      <c r="BB86" s="49"/>
      <c r="BC86" s="49"/>
      <c r="BD86" s="49"/>
    </row>
    <row r="87" spans="2:56" s="5" customFormat="1" ht="23.25" x14ac:dyDescent="0.25">
      <c r="B87" s="55"/>
      <c r="C87" s="56"/>
      <c r="D87" s="287" t="s">
        <v>6</v>
      </c>
      <c r="E87" s="288"/>
      <c r="F87" s="288"/>
      <c r="G87" s="288"/>
      <c r="H87" s="288"/>
      <c r="I87" s="57"/>
      <c r="J87" s="287" t="s">
        <v>192</v>
      </c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308">
        <f>'SO.100 - ČÁST 1'!M28</f>
        <v>0</v>
      </c>
      <c r="AH87" s="308"/>
      <c r="AI87" s="308"/>
      <c r="AJ87" s="308"/>
      <c r="AK87" s="308"/>
      <c r="AL87" s="308"/>
      <c r="AM87" s="308"/>
      <c r="AN87" s="308">
        <f>AG87*1.21</f>
        <v>0</v>
      </c>
      <c r="AO87" s="308"/>
      <c r="AP87" s="308"/>
      <c r="AQ87" s="58"/>
      <c r="AR87" s="256">
        <f>AN87-'SO.100 - ČÁST 1'!L36</f>
        <v>0</v>
      </c>
      <c r="AS87" s="255"/>
      <c r="AU87" s="282"/>
      <c r="AZ87" s="59"/>
      <c r="BA87" s="59"/>
      <c r="BB87" s="59"/>
      <c r="BC87" s="59"/>
      <c r="BD87" s="59"/>
    </row>
    <row r="88" spans="2:56" s="5" customFormat="1" ht="30" customHeight="1" x14ac:dyDescent="0.25">
      <c r="B88" s="55"/>
      <c r="C88" s="56"/>
      <c r="D88" s="287" t="s">
        <v>6</v>
      </c>
      <c r="E88" s="288"/>
      <c r="F88" s="288"/>
      <c r="G88" s="288"/>
      <c r="H88" s="288"/>
      <c r="I88" s="57"/>
      <c r="J88" s="287" t="s">
        <v>148</v>
      </c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308">
        <f>'SO.100 - ČÁST 1 - SJEZD'!M28</f>
        <v>0</v>
      </c>
      <c r="AH88" s="308"/>
      <c r="AI88" s="308"/>
      <c r="AJ88" s="308"/>
      <c r="AK88" s="308"/>
      <c r="AL88" s="308"/>
      <c r="AM88" s="308"/>
      <c r="AN88" s="308">
        <f>AG88*1.21</f>
        <v>0</v>
      </c>
      <c r="AO88" s="308"/>
      <c r="AP88" s="308"/>
      <c r="AQ88" s="58"/>
      <c r="AR88" s="256">
        <f>AN88-'SO.100 - ČÁST 1 - SJEZD'!L36</f>
        <v>0</v>
      </c>
      <c r="AS88" s="255"/>
      <c r="AU88" s="283"/>
      <c r="AV88" s="283"/>
      <c r="AW88" s="284"/>
      <c r="AZ88" s="59"/>
      <c r="BA88" s="59"/>
      <c r="BB88" s="59"/>
      <c r="BC88" s="59"/>
      <c r="BD88" s="59"/>
    </row>
    <row r="89" spans="2:56" x14ac:dyDescent="0.3">
      <c r="B89" s="12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13"/>
    </row>
    <row r="90" spans="2:56" s="1" customFormat="1" ht="30" customHeight="1" x14ac:dyDescent="0.25">
      <c r="B90" s="20"/>
      <c r="C90" s="53" t="s">
        <v>52</v>
      </c>
      <c r="AG90" s="304">
        <v>0</v>
      </c>
      <c r="AH90" s="305"/>
      <c r="AI90" s="305"/>
      <c r="AJ90" s="305"/>
      <c r="AK90" s="305"/>
      <c r="AL90" s="305"/>
      <c r="AM90" s="305"/>
      <c r="AN90" s="304">
        <v>0</v>
      </c>
      <c r="AO90" s="305"/>
      <c r="AP90" s="305"/>
      <c r="AQ90" s="21"/>
    </row>
    <row r="91" spans="2:56" s="1" customFormat="1" ht="10.9" customHeight="1" x14ac:dyDescent="0.25">
      <c r="B91" s="20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21"/>
    </row>
    <row r="92" spans="2:56" s="1" customFormat="1" ht="30" customHeight="1" x14ac:dyDescent="0.25">
      <c r="B92" s="20"/>
      <c r="C92" s="60" t="s">
        <v>53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307">
        <f>ROUND(AG86+AG90,2)</f>
        <v>0</v>
      </c>
      <c r="AH92" s="307"/>
      <c r="AI92" s="307"/>
      <c r="AJ92" s="307"/>
      <c r="AK92" s="307"/>
      <c r="AL92" s="307"/>
      <c r="AM92" s="307"/>
      <c r="AN92" s="307">
        <f>AN86+AN90</f>
        <v>0</v>
      </c>
      <c r="AO92" s="307"/>
      <c r="AP92" s="307"/>
      <c r="AQ92" s="21"/>
    </row>
    <row r="93" spans="2:56" s="1" customFormat="1" ht="6.95" customHeight="1" x14ac:dyDescent="0.25"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2"/>
    </row>
  </sheetData>
  <mergeCells count="48">
    <mergeCell ref="AK28:AO28"/>
    <mergeCell ref="L30:O30"/>
    <mergeCell ref="W30:AE30"/>
    <mergeCell ref="C1:AP1"/>
    <mergeCell ref="C3:AP3"/>
    <mergeCell ref="K4:AO4"/>
    <mergeCell ref="K5:AO5"/>
    <mergeCell ref="E22:AN22"/>
    <mergeCell ref="AK25:AO25"/>
    <mergeCell ref="AK30:AO30"/>
    <mergeCell ref="AK26:AO26"/>
    <mergeCell ref="L33:O33"/>
    <mergeCell ref="W33:AE33"/>
    <mergeCell ref="AK33:AO33"/>
    <mergeCell ref="L34:O34"/>
    <mergeCell ref="W34:AE34"/>
    <mergeCell ref="AK34:AO34"/>
    <mergeCell ref="L31:O31"/>
    <mergeCell ref="W31:AE31"/>
    <mergeCell ref="AK31:AO31"/>
    <mergeCell ref="L32:O32"/>
    <mergeCell ref="W32:AE32"/>
    <mergeCell ref="AK32:AO32"/>
    <mergeCell ref="AG90:AM90"/>
    <mergeCell ref="AN90:AP90"/>
    <mergeCell ref="AG86:AM86"/>
    <mergeCell ref="AN86:AP86"/>
    <mergeCell ref="AG92:AM92"/>
    <mergeCell ref="AN92:AP92"/>
    <mergeCell ref="AN87:AP87"/>
    <mergeCell ref="AG87:AM87"/>
    <mergeCell ref="AG88:AM88"/>
    <mergeCell ref="AN88:AP88"/>
    <mergeCell ref="D88:H88"/>
    <mergeCell ref="J88:AF88"/>
    <mergeCell ref="X36:AB36"/>
    <mergeCell ref="AK36:AO36"/>
    <mergeCell ref="C75:AP75"/>
    <mergeCell ref="D87:H87"/>
    <mergeCell ref="J87:AF87"/>
    <mergeCell ref="AM82:AP82"/>
    <mergeCell ref="C84:G84"/>
    <mergeCell ref="I84:AF84"/>
    <mergeCell ref="AG84:AM84"/>
    <mergeCell ref="AN84:AP84"/>
    <mergeCell ref="AM79:AN79"/>
    <mergeCell ref="L77:AO77"/>
    <mergeCell ref="AM81:AP81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V234"/>
  <sheetViews>
    <sheetView showGridLines="0" workbookViewId="0">
      <selection activeCell="L172" sqref="L172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6" bestFit="1" customWidth="1"/>
    <col min="15" max="15" width="11.85546875" style="86" bestFit="1" customWidth="1"/>
    <col min="16" max="16" width="7.5703125" style="86" bestFit="1" customWidth="1"/>
    <col min="17" max="17" width="11.85546875" style="86" bestFit="1" customWidth="1"/>
    <col min="18" max="18" width="2.140625" customWidth="1"/>
    <col min="19" max="19" width="3.42578125" customWidth="1"/>
  </cols>
  <sheetData>
    <row r="1" spans="2:18" ht="17.25" customHeight="1" x14ac:dyDescent="0.3">
      <c r="C1" s="316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5"/>
      <c r="O2" s="85"/>
      <c r="P2" s="85"/>
      <c r="Q2" s="85"/>
      <c r="R2" s="11"/>
    </row>
    <row r="3" spans="2:18" ht="36.950000000000003" customHeight="1" x14ac:dyDescent="0.3">
      <c r="B3" s="12"/>
      <c r="C3" s="294" t="s">
        <v>54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13"/>
    </row>
    <row r="4" spans="2:18" ht="6.95" customHeight="1" x14ac:dyDescent="0.3">
      <c r="B4" s="12"/>
      <c r="R4" s="13"/>
    </row>
    <row r="5" spans="2:18" s="1" customFormat="1" ht="32.85" customHeight="1" x14ac:dyDescent="0.25">
      <c r="B5" s="20"/>
      <c r="D5" s="16" t="s">
        <v>7</v>
      </c>
      <c r="F5" s="319" t="s">
        <v>148</v>
      </c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87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7"/>
      <c r="O6" s="119" t="s">
        <v>10</v>
      </c>
      <c r="P6" s="87"/>
      <c r="Q6" s="87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7"/>
      <c r="O7" s="353">
        <f>'Rekapitulace stavby'!AN7</f>
        <v>45803</v>
      </c>
      <c r="P7" s="354"/>
      <c r="Q7" s="87"/>
      <c r="R7" s="21"/>
    </row>
    <row r="8" spans="2:18" s="1" customFormat="1" ht="10.9" customHeight="1" x14ac:dyDescent="0.25">
      <c r="B8" s="20"/>
      <c r="N8" s="87"/>
      <c r="O8" s="87"/>
      <c r="P8" s="87"/>
      <c r="Q8" s="87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7"/>
      <c r="O9" s="355" t="s">
        <v>10</v>
      </c>
      <c r="P9" s="305"/>
      <c r="Q9" s="87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7"/>
      <c r="O10" s="355" t="s">
        <v>10</v>
      </c>
      <c r="P10" s="305"/>
      <c r="Q10" s="87"/>
      <c r="R10" s="21"/>
    </row>
    <row r="11" spans="2:18" s="1" customFormat="1" ht="6.95" customHeight="1" x14ac:dyDescent="0.25">
      <c r="B11" s="20"/>
      <c r="N11" s="87"/>
      <c r="O11" s="87"/>
      <c r="P11" s="87"/>
      <c r="Q11" s="87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7"/>
      <c r="O12" s="355" t="s">
        <v>10</v>
      </c>
      <c r="P12" s="305"/>
      <c r="Q12" s="87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7"/>
      <c r="O13" s="355" t="s">
        <v>10</v>
      </c>
      <c r="P13" s="305"/>
      <c r="Q13" s="87"/>
      <c r="R13" s="21"/>
    </row>
    <row r="14" spans="2:18" s="1" customFormat="1" ht="6.95" customHeight="1" x14ac:dyDescent="0.25">
      <c r="B14" s="20"/>
      <c r="N14" s="87"/>
      <c r="O14" s="87"/>
      <c r="P14" s="87"/>
      <c r="Q14" s="87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7"/>
      <c r="O15" s="355" t="s">
        <v>10</v>
      </c>
      <c r="P15" s="305"/>
      <c r="Q15" s="87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7"/>
      <c r="O16" s="355" t="s">
        <v>10</v>
      </c>
      <c r="P16" s="305"/>
      <c r="Q16" s="87"/>
      <c r="R16" s="21"/>
    </row>
    <row r="17" spans="2:18" s="1" customFormat="1" ht="6.95" customHeight="1" x14ac:dyDescent="0.25">
      <c r="B17" s="20"/>
      <c r="N17" s="87"/>
      <c r="O17" s="87"/>
      <c r="P17" s="87"/>
      <c r="Q17" s="87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7"/>
      <c r="O18" s="355" t="s">
        <v>10</v>
      </c>
      <c r="P18" s="305"/>
      <c r="Q18" s="87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7"/>
      <c r="O19" s="355" t="s">
        <v>10</v>
      </c>
      <c r="P19" s="305"/>
      <c r="Q19" s="87"/>
      <c r="R19" s="21"/>
    </row>
    <row r="20" spans="2:18" s="1" customFormat="1" ht="6.95" customHeight="1" x14ac:dyDescent="0.25">
      <c r="B20" s="20"/>
      <c r="N20" s="87"/>
      <c r="O20" s="87"/>
      <c r="P20" s="87"/>
      <c r="Q20" s="87"/>
      <c r="R20" s="21"/>
    </row>
    <row r="21" spans="2:18" s="1" customFormat="1" ht="14.45" customHeight="1" x14ac:dyDescent="0.25">
      <c r="B21" s="20"/>
      <c r="D21" s="17" t="s">
        <v>26</v>
      </c>
      <c r="N21" s="87"/>
      <c r="O21" s="87"/>
      <c r="P21" s="87"/>
      <c r="Q21" s="87"/>
      <c r="R21" s="21"/>
    </row>
    <row r="22" spans="2:18" s="1" customFormat="1" ht="22.5" customHeight="1" x14ac:dyDescent="0.25">
      <c r="B22" s="20"/>
      <c r="E22" s="320" t="s">
        <v>10</v>
      </c>
      <c r="F22" s="295"/>
      <c r="G22" s="295"/>
      <c r="H22" s="295"/>
      <c r="I22" s="295"/>
      <c r="J22" s="295"/>
      <c r="K22" s="295"/>
      <c r="L22" s="295"/>
      <c r="N22" s="87"/>
      <c r="O22" s="87"/>
      <c r="P22" s="87"/>
      <c r="Q22" s="87"/>
      <c r="R22" s="21"/>
    </row>
    <row r="23" spans="2:18" s="1" customFormat="1" ht="6.95" customHeight="1" x14ac:dyDescent="0.25">
      <c r="B23" s="20"/>
      <c r="N23" s="87"/>
      <c r="O23" s="87"/>
      <c r="P23" s="87"/>
      <c r="Q23" s="87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8"/>
      <c r="O24" s="88"/>
      <c r="P24" s="88"/>
      <c r="Q24" s="87"/>
      <c r="R24" s="21"/>
    </row>
    <row r="25" spans="2:18" s="1" customFormat="1" ht="14.45" customHeight="1" x14ac:dyDescent="0.25">
      <c r="B25" s="20"/>
      <c r="D25" s="120" t="s">
        <v>55</v>
      </c>
      <c r="H25" s="87"/>
      <c r="I25" s="87"/>
      <c r="J25" s="87"/>
      <c r="K25" s="87"/>
      <c r="L25" s="87"/>
      <c r="M25" s="321">
        <f>O86</f>
        <v>0</v>
      </c>
      <c r="N25" s="305"/>
      <c r="O25" s="305"/>
      <c r="P25" s="305"/>
      <c r="Q25" s="87"/>
      <c r="R25" s="21"/>
    </row>
    <row r="26" spans="2:18" s="1" customFormat="1" ht="14.45" customHeight="1" x14ac:dyDescent="0.25">
      <c r="B26" s="20"/>
      <c r="D26" s="19" t="s">
        <v>56</v>
      </c>
      <c r="H26" s="87"/>
      <c r="I26" s="87"/>
      <c r="J26" s="87"/>
      <c r="K26" s="87"/>
      <c r="L26" s="87"/>
      <c r="M26" s="321">
        <f>O94</f>
        <v>0</v>
      </c>
      <c r="N26" s="305"/>
      <c r="O26" s="305"/>
      <c r="P26" s="305"/>
      <c r="Q26" s="87"/>
      <c r="R26" s="21"/>
    </row>
    <row r="27" spans="2:18" s="1" customFormat="1" ht="6.95" customHeight="1" x14ac:dyDescent="0.25">
      <c r="B27" s="20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1"/>
    </row>
    <row r="28" spans="2:18" s="1" customFormat="1" ht="25.35" customHeight="1" x14ac:dyDescent="0.25">
      <c r="B28" s="20"/>
      <c r="D28" s="121" t="s">
        <v>29</v>
      </c>
      <c r="H28" s="87"/>
      <c r="I28" s="87"/>
      <c r="J28" s="87"/>
      <c r="K28" s="87"/>
      <c r="L28" s="87"/>
      <c r="M28" s="356">
        <f>ROUND(M25+M26,2)</f>
        <v>0</v>
      </c>
      <c r="N28" s="305"/>
      <c r="O28" s="305"/>
      <c r="P28" s="305"/>
      <c r="Q28" s="87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8"/>
      <c r="I29" s="88"/>
      <c r="J29" s="88"/>
      <c r="K29" s="88"/>
      <c r="L29" s="88"/>
      <c r="M29" s="88"/>
      <c r="N29" s="88"/>
      <c r="O29" s="88"/>
      <c r="P29" s="88"/>
      <c r="Q29" s="87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22">
        <v>0.21</v>
      </c>
      <c r="G30" s="123" t="s">
        <v>32</v>
      </c>
      <c r="H30" s="313">
        <f>M28</f>
        <v>0</v>
      </c>
      <c r="I30" s="305"/>
      <c r="J30" s="305"/>
      <c r="K30" s="87"/>
      <c r="L30" s="87"/>
      <c r="M30" s="313">
        <f>H30*F30</f>
        <v>0</v>
      </c>
      <c r="N30" s="305"/>
      <c r="O30" s="305"/>
      <c r="P30" s="305"/>
      <c r="Q30" s="87"/>
      <c r="R30" s="21"/>
    </row>
    <row r="31" spans="2:18" s="1" customFormat="1" ht="14.45" customHeight="1" x14ac:dyDescent="0.25">
      <c r="B31" s="20"/>
      <c r="E31" s="25" t="s">
        <v>33</v>
      </c>
      <c r="F31" s="122">
        <v>0.12</v>
      </c>
      <c r="G31" s="123" t="s">
        <v>32</v>
      </c>
      <c r="H31" s="313"/>
      <c r="I31" s="305"/>
      <c r="J31" s="305"/>
      <c r="K31" s="87"/>
      <c r="L31" s="87"/>
      <c r="M31" s="313"/>
      <c r="N31" s="305"/>
      <c r="O31" s="305"/>
      <c r="P31" s="305"/>
      <c r="Q31" s="87"/>
      <c r="R31" s="21"/>
    </row>
    <row r="32" spans="2:18" s="1" customFormat="1" ht="14.45" hidden="1" customHeight="1" x14ac:dyDescent="0.25">
      <c r="B32" s="20"/>
      <c r="E32" s="25" t="s">
        <v>34</v>
      </c>
      <c r="F32" s="122">
        <v>0.21</v>
      </c>
      <c r="G32" s="123" t="s">
        <v>32</v>
      </c>
      <c r="H32" s="313" t="e">
        <f>ROUND((SUM(#REF!)+SUM(#REF!)), 2)</f>
        <v>#REF!</v>
      </c>
      <c r="I32" s="305"/>
      <c r="J32" s="305"/>
      <c r="K32" s="87"/>
      <c r="L32" s="87"/>
      <c r="M32" s="313">
        <v>0</v>
      </c>
      <c r="N32" s="305"/>
      <c r="O32" s="305"/>
      <c r="P32" s="305"/>
      <c r="Q32" s="87"/>
      <c r="R32" s="21"/>
    </row>
    <row r="33" spans="2:18" s="1" customFormat="1" ht="14.45" hidden="1" customHeight="1" x14ac:dyDescent="0.25">
      <c r="B33" s="20"/>
      <c r="E33" s="25" t="s">
        <v>35</v>
      </c>
      <c r="F33" s="122">
        <v>0.15</v>
      </c>
      <c r="G33" s="123" t="s">
        <v>32</v>
      </c>
      <c r="H33" s="313" t="e">
        <f>ROUND((SUM(#REF!)+SUM(#REF!)), 2)</f>
        <v>#REF!</v>
      </c>
      <c r="I33" s="305"/>
      <c r="J33" s="305"/>
      <c r="K33" s="87"/>
      <c r="L33" s="87"/>
      <c r="M33" s="313">
        <v>0</v>
      </c>
      <c r="N33" s="305"/>
      <c r="O33" s="305"/>
      <c r="P33" s="305"/>
      <c r="Q33" s="87"/>
      <c r="R33" s="21"/>
    </row>
    <row r="34" spans="2:18" s="1" customFormat="1" ht="14.45" hidden="1" customHeight="1" x14ac:dyDescent="0.25">
      <c r="B34" s="20"/>
      <c r="E34" s="25" t="s">
        <v>36</v>
      </c>
      <c r="F34" s="122">
        <v>0</v>
      </c>
      <c r="G34" s="123" t="s">
        <v>32</v>
      </c>
      <c r="H34" s="313" t="e">
        <f>ROUND((SUM(#REF!)+SUM(#REF!)), 2)</f>
        <v>#REF!</v>
      </c>
      <c r="I34" s="305"/>
      <c r="J34" s="305"/>
      <c r="K34" s="87"/>
      <c r="L34" s="87"/>
      <c r="M34" s="313">
        <v>0</v>
      </c>
      <c r="N34" s="305"/>
      <c r="O34" s="305"/>
      <c r="P34" s="305"/>
      <c r="Q34" s="87"/>
      <c r="R34" s="21"/>
    </row>
    <row r="35" spans="2:18" s="1" customFormat="1" ht="6.95" customHeight="1" x14ac:dyDescent="0.25">
      <c r="B35" s="20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21"/>
    </row>
    <row r="36" spans="2:18" s="1" customFormat="1" ht="25.35" customHeight="1" x14ac:dyDescent="0.25">
      <c r="B36" s="20"/>
      <c r="D36" s="62" t="s">
        <v>37</v>
      </c>
      <c r="E36" s="52"/>
      <c r="F36" s="52"/>
      <c r="G36" s="63" t="s">
        <v>38</v>
      </c>
      <c r="H36" s="135" t="s">
        <v>39</v>
      </c>
      <c r="I36" s="136"/>
      <c r="J36" s="136"/>
      <c r="K36" s="136"/>
      <c r="L36" s="360">
        <f>SUM(M28:M34)</f>
        <v>0</v>
      </c>
      <c r="M36" s="361"/>
      <c r="N36" s="361"/>
      <c r="O36" s="361"/>
      <c r="P36" s="362"/>
      <c r="Q36" s="87"/>
      <c r="R36" s="21"/>
    </row>
    <row r="37" spans="2:18" s="1" customFormat="1" ht="14.45" customHeight="1" x14ac:dyDescent="0.25">
      <c r="B37" s="20"/>
      <c r="N37" s="87"/>
      <c r="O37" s="87"/>
      <c r="P37" s="87"/>
      <c r="Q37" s="87"/>
      <c r="R37" s="21"/>
    </row>
    <row r="38" spans="2:18" s="1" customFormat="1" ht="14.45" customHeight="1" x14ac:dyDescent="0.25">
      <c r="B38" s="20"/>
      <c r="N38" s="87"/>
      <c r="O38" s="87"/>
      <c r="P38" s="87"/>
      <c r="Q38" s="87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8"/>
      <c r="O49" s="88"/>
      <c r="P49" s="89"/>
      <c r="Q49" s="87"/>
      <c r="R49" s="21"/>
    </row>
    <row r="50" spans="2:18" x14ac:dyDescent="0.3">
      <c r="B50" s="12"/>
      <c r="D50" s="34"/>
      <c r="H50" s="35"/>
      <c r="J50" s="34"/>
      <c r="P50" s="90"/>
      <c r="R50" s="13"/>
    </row>
    <row r="51" spans="2:18" x14ac:dyDescent="0.3">
      <c r="B51" s="12"/>
      <c r="D51" s="34"/>
      <c r="H51" s="35"/>
      <c r="J51" s="34"/>
      <c r="P51" s="90"/>
      <c r="R51" s="13"/>
    </row>
    <row r="52" spans="2:18" x14ac:dyDescent="0.3">
      <c r="B52" s="12"/>
      <c r="D52" s="34"/>
      <c r="H52" s="35"/>
      <c r="J52" s="34"/>
      <c r="P52" s="90"/>
      <c r="R52" s="13"/>
    </row>
    <row r="53" spans="2:18" x14ac:dyDescent="0.3">
      <c r="B53" s="12"/>
      <c r="D53" s="34"/>
      <c r="H53" s="35"/>
      <c r="J53" s="34"/>
      <c r="P53" s="90"/>
      <c r="R53" s="13"/>
    </row>
    <row r="54" spans="2:18" x14ac:dyDescent="0.3">
      <c r="B54" s="12"/>
      <c r="D54" s="34"/>
      <c r="H54" s="35"/>
      <c r="J54" s="34"/>
      <c r="P54" s="90"/>
      <c r="R54" s="13"/>
    </row>
    <row r="55" spans="2:18" x14ac:dyDescent="0.3">
      <c r="B55" s="12"/>
      <c r="D55" s="34"/>
      <c r="H55" s="35"/>
      <c r="J55" s="34"/>
      <c r="P55" s="90"/>
      <c r="R55" s="13"/>
    </row>
    <row r="56" spans="2:18" x14ac:dyDescent="0.3">
      <c r="B56" s="12"/>
      <c r="D56" s="34"/>
      <c r="H56" s="35"/>
      <c r="J56" s="34"/>
      <c r="P56" s="90"/>
      <c r="R56" s="13"/>
    </row>
    <row r="57" spans="2:18" x14ac:dyDescent="0.3">
      <c r="B57" s="12"/>
      <c r="D57" s="34"/>
      <c r="H57" s="35"/>
      <c r="J57" s="34"/>
      <c r="P57" s="90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5" t="s">
        <v>43</v>
      </c>
      <c r="O58" s="96"/>
      <c r="P58" s="91"/>
      <c r="Q58" s="87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8"/>
      <c r="O60" s="88"/>
      <c r="P60" s="89"/>
      <c r="Q60" s="87"/>
      <c r="R60" s="21"/>
    </row>
    <row r="61" spans="2:18" x14ac:dyDescent="0.3">
      <c r="B61" s="12"/>
      <c r="D61" s="34"/>
      <c r="H61" s="35"/>
      <c r="J61" s="34"/>
      <c r="P61" s="90"/>
      <c r="R61" s="13"/>
    </row>
    <row r="62" spans="2:18" x14ac:dyDescent="0.3">
      <c r="B62" s="12"/>
      <c r="D62" s="34"/>
      <c r="H62" s="35"/>
      <c r="J62" s="34"/>
      <c r="P62" s="90"/>
      <c r="R62" s="13"/>
    </row>
    <row r="63" spans="2:18" x14ac:dyDescent="0.3">
      <c r="B63" s="12"/>
      <c r="D63" s="34"/>
      <c r="H63" s="35"/>
      <c r="J63" s="34"/>
      <c r="P63" s="90"/>
      <c r="R63" s="13"/>
    </row>
    <row r="64" spans="2:18" x14ac:dyDescent="0.3">
      <c r="B64" s="12"/>
      <c r="D64" s="34"/>
      <c r="H64" s="35"/>
      <c r="J64" s="34"/>
      <c r="P64" s="90"/>
      <c r="R64" s="13"/>
    </row>
    <row r="65" spans="2:18" x14ac:dyDescent="0.3">
      <c r="B65" s="12"/>
      <c r="D65" s="34"/>
      <c r="H65" s="35"/>
      <c r="J65" s="34"/>
      <c r="P65" s="90"/>
      <c r="R65" s="13"/>
    </row>
    <row r="66" spans="2:18" x14ac:dyDescent="0.3">
      <c r="B66" s="12"/>
      <c r="D66" s="34"/>
      <c r="H66" s="35"/>
      <c r="J66" s="34"/>
      <c r="P66" s="90"/>
      <c r="R66" s="13"/>
    </row>
    <row r="67" spans="2:18" x14ac:dyDescent="0.3">
      <c r="B67" s="12"/>
      <c r="D67" s="34"/>
      <c r="H67" s="35"/>
      <c r="J67" s="34"/>
      <c r="P67" s="90"/>
      <c r="R67" s="13"/>
    </row>
    <row r="68" spans="2:18" x14ac:dyDescent="0.3">
      <c r="B68" s="12"/>
      <c r="D68" s="34"/>
      <c r="H68" s="35"/>
      <c r="J68" s="34"/>
      <c r="P68" s="90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5" t="s">
        <v>43</v>
      </c>
      <c r="O69" s="96"/>
      <c r="P69" s="91"/>
      <c r="Q69" s="87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2"/>
      <c r="O70" s="92"/>
      <c r="P70" s="92"/>
      <c r="Q70" s="92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3"/>
      <c r="O74" s="93"/>
      <c r="P74" s="93"/>
      <c r="Q74" s="93"/>
      <c r="R74" s="45"/>
    </row>
    <row r="75" spans="2:18" s="1" customFormat="1" ht="36.950000000000003" customHeight="1" x14ac:dyDescent="0.25">
      <c r="B75" s="20"/>
      <c r="C75" s="294" t="s">
        <v>57</v>
      </c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1"/>
    </row>
    <row r="76" spans="2:18" s="1" customFormat="1" ht="6.95" customHeight="1" x14ac:dyDescent="0.25">
      <c r="B76" s="20"/>
      <c r="N76" s="87"/>
      <c r="O76" s="87"/>
      <c r="P76" s="87"/>
      <c r="Q76" s="87"/>
      <c r="R76" s="21"/>
    </row>
    <row r="77" spans="2:18" s="1" customFormat="1" ht="36.950000000000003" customHeight="1" x14ac:dyDescent="0.25">
      <c r="B77" s="20"/>
      <c r="C77" s="49" t="s">
        <v>7</v>
      </c>
      <c r="F77" s="302" t="str">
        <f>F5</f>
        <v>Oprava části asfaltového povrchu MK v ulici Na Ostrově v Chrudimi - ČÁST 1</v>
      </c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87"/>
      <c r="R77" s="21"/>
    </row>
    <row r="78" spans="2:18" s="1" customFormat="1" ht="6.95" customHeight="1" x14ac:dyDescent="0.25">
      <c r="B78" s="20"/>
      <c r="N78" s="87"/>
      <c r="O78" s="87"/>
      <c r="P78" s="87"/>
      <c r="Q78" s="87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301">
        <f>IF(O7="","",O7)</f>
        <v>45803</v>
      </c>
      <c r="N79" s="301"/>
      <c r="Q79" s="87"/>
      <c r="R79" s="21"/>
    </row>
    <row r="80" spans="2:18" s="1" customFormat="1" ht="6.95" customHeight="1" x14ac:dyDescent="0.25">
      <c r="B80" s="20"/>
      <c r="N80" s="87"/>
      <c r="O80" s="87"/>
      <c r="P80" s="87"/>
      <c r="Q80" s="87"/>
      <c r="R80" s="21"/>
    </row>
    <row r="81" spans="2:18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318" t="str">
        <f>E16</f>
        <v xml:space="preserve"> </v>
      </c>
      <c r="N81" s="295"/>
      <c r="O81" s="295"/>
      <c r="P81" s="295"/>
      <c r="Q81" s="295"/>
      <c r="R81" s="21"/>
    </row>
    <row r="82" spans="2:18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318" t="str">
        <f>E19</f>
        <v xml:space="preserve"> </v>
      </c>
      <c r="N82" s="295"/>
      <c r="O82" s="295"/>
      <c r="P82" s="295"/>
      <c r="Q82" s="295"/>
      <c r="R82" s="21"/>
    </row>
    <row r="83" spans="2:18" s="1" customFormat="1" ht="10.35" customHeight="1" x14ac:dyDescent="0.25">
      <c r="B83" s="20"/>
      <c r="N83" s="87"/>
      <c r="O83" s="87"/>
      <c r="P83" s="87"/>
      <c r="Q83" s="87"/>
      <c r="R83" s="21"/>
    </row>
    <row r="84" spans="2:18" s="1" customFormat="1" ht="29.25" customHeight="1" x14ac:dyDescent="0.25">
      <c r="B84" s="20"/>
      <c r="C84" s="357" t="s">
        <v>58</v>
      </c>
      <c r="D84" s="358"/>
      <c r="E84" s="358"/>
      <c r="F84" s="358"/>
      <c r="G84" s="358"/>
      <c r="H84" s="61"/>
      <c r="I84" s="61"/>
      <c r="J84" s="61"/>
      <c r="K84" s="61"/>
      <c r="L84" s="61"/>
      <c r="M84" s="61"/>
      <c r="N84" s="61"/>
      <c r="O84" s="359" t="s">
        <v>59</v>
      </c>
      <c r="P84" s="359"/>
      <c r="Q84" s="359"/>
      <c r="R84" s="21"/>
    </row>
    <row r="85" spans="2:18" s="1" customFormat="1" ht="10.35" customHeight="1" x14ac:dyDescent="0.25">
      <c r="B85" s="20"/>
      <c r="O85" s="115"/>
      <c r="Q85" s="87"/>
      <c r="R85" s="21"/>
    </row>
    <row r="86" spans="2:18" s="1" customFormat="1" ht="29.25" customHeight="1" x14ac:dyDescent="0.25">
      <c r="B86" s="20"/>
      <c r="C86" s="116" t="s">
        <v>60</v>
      </c>
      <c r="O86" s="306">
        <f>SUM(O87:Q92)</f>
        <v>0</v>
      </c>
      <c r="P86" s="306"/>
      <c r="Q86" s="306"/>
      <c r="R86" s="21"/>
    </row>
    <row r="87" spans="2:18" s="6" customFormat="1" ht="19.899999999999999" customHeight="1" x14ac:dyDescent="0.25">
      <c r="B87" s="64"/>
      <c r="D87" s="117" t="s">
        <v>61</v>
      </c>
      <c r="O87" s="350">
        <f>M115</f>
        <v>0</v>
      </c>
      <c r="P87" s="350"/>
      <c r="Q87" s="350"/>
      <c r="R87" s="118"/>
    </row>
    <row r="88" spans="2:18" s="6" customFormat="1" ht="19.899999999999999" customHeight="1" x14ac:dyDescent="0.25">
      <c r="B88" s="64"/>
      <c r="D88" s="117" t="s">
        <v>62</v>
      </c>
      <c r="O88" s="350">
        <f>M148</f>
        <v>0</v>
      </c>
      <c r="P88" s="350"/>
      <c r="Q88" s="350"/>
      <c r="R88" s="118"/>
    </row>
    <row r="89" spans="2:18" s="6" customFormat="1" ht="19.899999999999999" customHeight="1" x14ac:dyDescent="0.25">
      <c r="B89" s="64"/>
      <c r="D89" s="117" t="s">
        <v>63</v>
      </c>
      <c r="O89" s="350">
        <f>M189</f>
        <v>0</v>
      </c>
      <c r="P89" s="350"/>
      <c r="Q89" s="350"/>
      <c r="R89" s="118"/>
    </row>
    <row r="90" spans="2:18" s="6" customFormat="1" ht="19.899999999999999" customHeight="1" x14ac:dyDescent="0.25">
      <c r="B90" s="64"/>
      <c r="D90" s="117" t="s">
        <v>64</v>
      </c>
      <c r="O90" s="350">
        <f>M216</f>
        <v>0</v>
      </c>
      <c r="P90" s="350"/>
      <c r="Q90" s="350"/>
      <c r="R90" s="118"/>
    </row>
    <row r="91" spans="2:18" s="6" customFormat="1" ht="19.899999999999999" customHeight="1" x14ac:dyDescent="0.25">
      <c r="B91" s="64"/>
      <c r="D91" s="117" t="s">
        <v>84</v>
      </c>
      <c r="O91" s="350">
        <f>M222</f>
        <v>0</v>
      </c>
      <c r="P91" s="350"/>
      <c r="Q91" s="350"/>
      <c r="R91" s="118"/>
    </row>
    <row r="92" spans="2:18" s="6" customFormat="1" ht="19.899999999999999" customHeight="1" x14ac:dyDescent="0.25">
      <c r="B92" s="64"/>
      <c r="D92" s="117" t="s">
        <v>90</v>
      </c>
      <c r="O92" s="350">
        <f>M224</f>
        <v>0</v>
      </c>
      <c r="P92" s="350"/>
      <c r="Q92" s="350"/>
      <c r="R92" s="118"/>
    </row>
    <row r="93" spans="2:18" s="77" customFormat="1" ht="7.5" x14ac:dyDescent="0.25">
      <c r="B93" s="78"/>
      <c r="O93" s="134"/>
      <c r="Q93" s="94"/>
      <c r="R93" s="104"/>
    </row>
    <row r="94" spans="2:18" s="1" customFormat="1" ht="29.25" customHeight="1" x14ac:dyDescent="0.25">
      <c r="B94" s="20"/>
      <c r="C94" s="116" t="s">
        <v>65</v>
      </c>
      <c r="O94" s="351">
        <v>0</v>
      </c>
      <c r="P94" s="351"/>
      <c r="Q94" s="351"/>
      <c r="R94" s="21"/>
    </row>
    <row r="95" spans="2:18" s="77" customFormat="1" ht="7.5" x14ac:dyDescent="0.25">
      <c r="B95" s="78"/>
      <c r="O95" s="134"/>
      <c r="Q95" s="94"/>
      <c r="R95" s="104"/>
    </row>
    <row r="96" spans="2:18" s="1" customFormat="1" ht="29.25" customHeight="1" x14ac:dyDescent="0.25">
      <c r="B96" s="20"/>
      <c r="C96" s="60" t="s">
        <v>53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352">
        <f>ROUND(SUM(O86+O94),2)</f>
        <v>0</v>
      </c>
      <c r="P96" s="352"/>
      <c r="Q96" s="352"/>
      <c r="R96" s="21"/>
    </row>
    <row r="97" spans="2:20" s="1" customFormat="1" ht="6.95" customHeight="1" x14ac:dyDescent="0.2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2"/>
      <c r="O97" s="92"/>
      <c r="P97" s="92"/>
      <c r="Q97" s="92"/>
      <c r="R97" s="42"/>
    </row>
    <row r="101" spans="2:20" s="1" customFormat="1" x14ac:dyDescent="0.2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93"/>
      <c r="O101" s="93"/>
      <c r="P101" s="93"/>
      <c r="Q101" s="93"/>
      <c r="R101" s="45"/>
    </row>
    <row r="102" spans="2:20" s="1" customFormat="1" ht="21" x14ac:dyDescent="0.25">
      <c r="B102" s="20"/>
      <c r="C102" s="294" t="s">
        <v>66</v>
      </c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1"/>
    </row>
    <row r="103" spans="2:20" s="77" customFormat="1" ht="7.5" x14ac:dyDescent="0.25">
      <c r="B103" s="78"/>
      <c r="N103" s="94"/>
      <c r="O103" s="94"/>
      <c r="P103" s="94"/>
      <c r="Q103" s="94"/>
      <c r="R103" s="104"/>
    </row>
    <row r="104" spans="2:20" s="1" customFormat="1" ht="33" customHeight="1" x14ac:dyDescent="0.25">
      <c r="B104" s="20"/>
      <c r="C104" s="49" t="s">
        <v>7</v>
      </c>
      <c r="F104" s="302" t="str">
        <f>F5</f>
        <v>Oprava části asfaltového povrchu MK v ulici Na Ostrově v Chrudimi - ČÁST 1</v>
      </c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87"/>
      <c r="R104" s="21"/>
    </row>
    <row r="105" spans="2:20" s="77" customFormat="1" ht="7.5" x14ac:dyDescent="0.25">
      <c r="B105" s="78"/>
      <c r="N105" s="94"/>
      <c r="O105" s="94"/>
      <c r="P105" s="94"/>
      <c r="Q105" s="94"/>
      <c r="R105" s="104"/>
    </row>
    <row r="106" spans="2:20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349">
        <f>IF(O7="","",O7)</f>
        <v>45803</v>
      </c>
      <c r="N106" s="295"/>
      <c r="O106" s="295"/>
      <c r="P106" s="295"/>
      <c r="Q106" s="87"/>
      <c r="R106" s="21"/>
    </row>
    <row r="107" spans="2:20" s="77" customFormat="1" ht="7.5" x14ac:dyDescent="0.25">
      <c r="B107" s="78"/>
      <c r="N107" s="94"/>
      <c r="O107" s="94"/>
      <c r="P107" s="94"/>
      <c r="Q107" s="94"/>
      <c r="R107" s="104"/>
    </row>
    <row r="108" spans="2:20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318" t="str">
        <f>E16</f>
        <v xml:space="preserve"> </v>
      </c>
      <c r="N108" s="295"/>
      <c r="O108" s="295"/>
      <c r="P108" s="295"/>
      <c r="Q108" s="295"/>
      <c r="R108" s="21"/>
    </row>
    <row r="109" spans="2:20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318" t="str">
        <f>E19</f>
        <v xml:space="preserve"> </v>
      </c>
      <c r="N109" s="295"/>
      <c r="O109" s="295"/>
      <c r="P109" s="295"/>
      <c r="Q109" s="295"/>
      <c r="R109" s="21"/>
    </row>
    <row r="110" spans="2:20" s="77" customFormat="1" ht="7.5" x14ac:dyDescent="0.25">
      <c r="B110" s="78"/>
      <c r="N110" s="94"/>
      <c r="O110" s="94"/>
      <c r="P110" s="94"/>
      <c r="Q110" s="94"/>
      <c r="R110" s="104"/>
    </row>
    <row r="111" spans="2:20" s="7" customFormat="1" ht="15" x14ac:dyDescent="0.25">
      <c r="B111" s="65"/>
      <c r="C111" s="347" t="s">
        <v>67</v>
      </c>
      <c r="D111" s="347" t="s">
        <v>68</v>
      </c>
      <c r="E111" s="347" t="s">
        <v>47</v>
      </c>
      <c r="F111" s="347" t="s">
        <v>69</v>
      </c>
      <c r="G111" s="347"/>
      <c r="H111" s="347"/>
      <c r="I111" s="347"/>
      <c r="J111" s="347" t="s">
        <v>70</v>
      </c>
      <c r="K111" s="347" t="s">
        <v>71</v>
      </c>
      <c r="L111" s="345" t="s">
        <v>79</v>
      </c>
      <c r="M111" s="346"/>
      <c r="N111" s="347" t="s">
        <v>80</v>
      </c>
      <c r="O111" s="347"/>
      <c r="P111" s="347" t="s">
        <v>81</v>
      </c>
      <c r="Q111" s="347"/>
      <c r="R111" s="66"/>
    </row>
    <row r="112" spans="2:20" s="7" customFormat="1" ht="15" x14ac:dyDescent="0.25">
      <c r="B112" s="65"/>
      <c r="C112" s="347"/>
      <c r="D112" s="347"/>
      <c r="E112" s="347"/>
      <c r="F112" s="347"/>
      <c r="G112" s="347"/>
      <c r="H112" s="347"/>
      <c r="I112" s="347"/>
      <c r="J112" s="347"/>
      <c r="K112" s="347"/>
      <c r="L112" s="76" t="s">
        <v>77</v>
      </c>
      <c r="M112" s="109" t="s">
        <v>78</v>
      </c>
      <c r="N112" s="76" t="s">
        <v>77</v>
      </c>
      <c r="O112" s="97" t="s">
        <v>78</v>
      </c>
      <c r="P112" s="76" t="s">
        <v>77</v>
      </c>
      <c r="Q112" s="97" t="s">
        <v>78</v>
      </c>
      <c r="R112" s="66"/>
      <c r="T112" s="274"/>
    </row>
    <row r="113" spans="2:22" s="179" customFormat="1" ht="7.5" x14ac:dyDescent="0.25">
      <c r="B113" s="180"/>
      <c r="M113" s="181"/>
      <c r="O113" s="182"/>
      <c r="Q113" s="182"/>
      <c r="R113" s="183"/>
    </row>
    <row r="114" spans="2:22" s="1" customFormat="1" ht="18" x14ac:dyDescent="0.35">
      <c r="B114" s="20"/>
      <c r="C114" s="53" t="s">
        <v>55</v>
      </c>
      <c r="D114" s="101"/>
      <c r="E114" s="101"/>
      <c r="F114" s="101"/>
      <c r="G114" s="101"/>
      <c r="H114" s="101"/>
      <c r="I114" s="101"/>
      <c r="J114" s="101"/>
      <c r="K114" s="101"/>
      <c r="L114" s="101"/>
      <c r="M114" s="110">
        <f>M115+M148+M189+M216+M222+M224</f>
        <v>0</v>
      </c>
      <c r="N114" s="101"/>
      <c r="O114" s="107">
        <f>O115+O148+O189+O216+O222</f>
        <v>711.1262835</v>
      </c>
      <c r="P114" s="108"/>
      <c r="Q114" s="107">
        <f>Q115+Q148+Q189+Q216+Q222</f>
        <v>550.71</v>
      </c>
      <c r="R114" s="21"/>
      <c r="V114" s="87"/>
    </row>
    <row r="115" spans="2:22" s="99" customFormat="1" ht="15" x14ac:dyDescent="0.3">
      <c r="B115" s="98"/>
      <c r="D115" s="84" t="s">
        <v>61</v>
      </c>
      <c r="E115" s="84"/>
      <c r="F115" s="84"/>
      <c r="G115" s="84"/>
      <c r="H115" s="84"/>
      <c r="I115" s="84"/>
      <c r="J115" s="84"/>
      <c r="K115" s="84"/>
      <c r="L115" s="84"/>
      <c r="M115" s="111">
        <f>SUM(M116:M147)</f>
        <v>0</v>
      </c>
      <c r="O115" s="100">
        <f>SUM(O116:O147)</f>
        <v>8.8016000000000011E-2</v>
      </c>
      <c r="Q115" s="100">
        <f>SUM(Q116:Q147)</f>
        <v>550.71</v>
      </c>
      <c r="R115" s="105"/>
    </row>
    <row r="116" spans="2:22" s="1" customFormat="1" x14ac:dyDescent="0.25">
      <c r="B116" s="20"/>
      <c r="C116" s="166">
        <v>1</v>
      </c>
      <c r="D116" s="166" t="s">
        <v>72</v>
      </c>
      <c r="E116" s="167" t="s">
        <v>109</v>
      </c>
      <c r="F116" s="324" t="s">
        <v>131</v>
      </c>
      <c r="G116" s="325"/>
      <c r="H116" s="325"/>
      <c r="I116" s="325"/>
      <c r="J116" s="124" t="s">
        <v>74</v>
      </c>
      <c r="K116" s="72">
        <f>K119</f>
        <v>26</v>
      </c>
      <c r="L116" s="150">
        <f>T116*$T$112</f>
        <v>0</v>
      </c>
      <c r="M116" s="112">
        <f>ROUND(L116*K116,2)</f>
        <v>0</v>
      </c>
      <c r="N116" s="79">
        <v>0</v>
      </c>
      <c r="O116" s="72">
        <f>N116*K116</f>
        <v>0</v>
      </c>
      <c r="P116" s="79">
        <v>0.27</v>
      </c>
      <c r="Q116" s="228">
        <f>P116*K116</f>
        <v>7.0200000000000005</v>
      </c>
      <c r="R116" s="106"/>
      <c r="T116" s="150"/>
    </row>
    <row r="117" spans="2:22" s="1" customFormat="1" x14ac:dyDescent="0.25">
      <c r="B117" s="68"/>
      <c r="C117" s="131"/>
      <c r="D117" s="131"/>
      <c r="E117" s="195" t="s">
        <v>163</v>
      </c>
      <c r="F117" s="348" t="s">
        <v>161</v>
      </c>
      <c r="G117" s="348"/>
      <c r="H117" s="348"/>
      <c r="I117" s="348"/>
      <c r="J117" s="348"/>
      <c r="K117" s="161">
        <f>ROUNDUP((22+125)*0.1,0)</f>
        <v>15</v>
      </c>
      <c r="L117" s="69"/>
      <c r="M117" s="70"/>
      <c r="N117" s="67"/>
      <c r="O117" s="71"/>
      <c r="P117" s="67"/>
      <c r="Q117" s="71"/>
      <c r="R117" s="21"/>
      <c r="T117" s="69"/>
    </row>
    <row r="118" spans="2:22" s="1" customFormat="1" x14ac:dyDescent="0.25">
      <c r="B118" s="68"/>
      <c r="C118" s="131"/>
      <c r="D118" s="131"/>
      <c r="E118" s="160" t="s">
        <v>164</v>
      </c>
      <c r="F118" s="197" t="s">
        <v>165</v>
      </c>
      <c r="G118" s="197"/>
      <c r="H118" s="197"/>
      <c r="I118" s="197"/>
      <c r="J118" s="197"/>
      <c r="K118" s="162">
        <f>ROUNDUP((5+47+58)*0.1,0)</f>
        <v>11</v>
      </c>
      <c r="L118" s="69"/>
      <c r="M118" s="70"/>
      <c r="N118" s="67"/>
      <c r="O118" s="71"/>
      <c r="P118" s="67"/>
      <c r="Q118" s="71"/>
      <c r="R118" s="21"/>
      <c r="T118" s="69"/>
    </row>
    <row r="119" spans="2:22" s="1" customFormat="1" x14ac:dyDescent="0.25">
      <c r="B119" s="68"/>
      <c r="C119" s="131"/>
      <c r="D119" s="131"/>
      <c r="E119" s="159"/>
      <c r="F119" s="125"/>
      <c r="G119" s="126"/>
      <c r="H119" s="126"/>
      <c r="I119" s="126"/>
      <c r="J119" s="127"/>
      <c r="K119" s="128">
        <f>SUM(K117:K118)</f>
        <v>26</v>
      </c>
      <c r="L119" s="69"/>
      <c r="M119" s="70"/>
      <c r="N119" s="67"/>
      <c r="O119" s="71"/>
      <c r="P119" s="67"/>
      <c r="Q119" s="71"/>
      <c r="R119" s="21"/>
      <c r="T119" s="69"/>
    </row>
    <row r="120" spans="2:22" s="1" customFormat="1" x14ac:dyDescent="0.25">
      <c r="B120" s="20"/>
      <c r="C120" s="166">
        <v>2</v>
      </c>
      <c r="D120" s="166" t="s">
        <v>72</v>
      </c>
      <c r="E120" s="167" t="s">
        <v>109</v>
      </c>
      <c r="F120" s="324" t="s">
        <v>132</v>
      </c>
      <c r="G120" s="325"/>
      <c r="H120" s="325"/>
      <c r="I120" s="325"/>
      <c r="J120" s="124" t="s">
        <v>74</v>
      </c>
      <c r="K120" s="72">
        <f>K123</f>
        <v>38.5</v>
      </c>
      <c r="L120" s="150">
        <f>T120*$T$112</f>
        <v>0</v>
      </c>
      <c r="M120" s="112">
        <f>ROUND(L120*K120,2)</f>
        <v>0</v>
      </c>
      <c r="N120" s="79">
        <v>0</v>
      </c>
      <c r="O120" s="72">
        <f>N120*K120</f>
        <v>0</v>
      </c>
      <c r="P120" s="79">
        <v>0.27</v>
      </c>
      <c r="Q120" s="163">
        <f>P120*K120</f>
        <v>10.395000000000001</v>
      </c>
      <c r="R120" s="106"/>
      <c r="T120" s="150"/>
    </row>
    <row r="121" spans="2:22" s="1" customFormat="1" x14ac:dyDescent="0.25">
      <c r="B121" s="68"/>
      <c r="C121" s="131"/>
      <c r="D121" s="131"/>
      <c r="E121" s="195" t="s">
        <v>157</v>
      </c>
      <c r="F121" s="326" t="s">
        <v>177</v>
      </c>
      <c r="G121" s="326"/>
      <c r="H121" s="326"/>
      <c r="I121" s="326"/>
      <c r="J121" s="326"/>
      <c r="K121" s="161">
        <f>5+4+5.5</f>
        <v>14.5</v>
      </c>
      <c r="L121" s="69"/>
      <c r="M121" s="70"/>
      <c r="N121" s="67"/>
      <c r="O121" s="71"/>
      <c r="P121" s="67"/>
      <c r="Q121" s="71"/>
      <c r="R121" s="21"/>
      <c r="T121" s="69"/>
    </row>
    <row r="122" spans="2:22" s="1" customFormat="1" x14ac:dyDescent="0.25">
      <c r="B122" s="68"/>
      <c r="C122" s="131"/>
      <c r="D122" s="131"/>
      <c r="E122" s="160" t="s">
        <v>162</v>
      </c>
      <c r="F122" s="197" t="s">
        <v>191</v>
      </c>
      <c r="G122" s="158"/>
      <c r="H122" s="158"/>
      <c r="I122" s="158"/>
      <c r="J122" s="158"/>
      <c r="K122" s="162">
        <f>3+3+3+3+3+9</f>
        <v>24</v>
      </c>
      <c r="L122" s="69"/>
      <c r="M122" s="70"/>
      <c r="N122" s="67"/>
      <c r="O122" s="71"/>
      <c r="P122" s="67"/>
      <c r="Q122" s="71"/>
      <c r="R122" s="21"/>
      <c r="T122" s="69"/>
    </row>
    <row r="123" spans="2:22" s="1" customFormat="1" x14ac:dyDescent="0.25">
      <c r="B123" s="68"/>
      <c r="C123" s="131"/>
      <c r="D123" s="131"/>
      <c r="E123" s="159"/>
      <c r="F123" s="125"/>
      <c r="G123" s="126"/>
      <c r="H123" s="126"/>
      <c r="I123" s="126"/>
      <c r="J123" s="127"/>
      <c r="K123" s="128">
        <f>SUM(K121:K122)</f>
        <v>38.5</v>
      </c>
      <c r="L123" s="69"/>
      <c r="M123" s="70"/>
      <c r="N123" s="67"/>
      <c r="O123" s="71"/>
      <c r="P123" s="67"/>
      <c r="Q123" s="71"/>
      <c r="R123" s="21"/>
      <c r="T123" s="69"/>
    </row>
    <row r="124" spans="2:22" s="1" customFormat="1" ht="29.25" customHeight="1" x14ac:dyDescent="0.25">
      <c r="B124" s="20"/>
      <c r="C124" s="166">
        <v>3</v>
      </c>
      <c r="D124" s="166" t="s">
        <v>72</v>
      </c>
      <c r="E124" s="167" t="s">
        <v>109</v>
      </c>
      <c r="F124" s="324" t="s">
        <v>133</v>
      </c>
      <c r="G124" s="325"/>
      <c r="H124" s="325"/>
      <c r="I124" s="325"/>
      <c r="J124" s="124" t="s">
        <v>74</v>
      </c>
      <c r="K124" s="72">
        <f>K129</f>
        <v>547</v>
      </c>
      <c r="L124" s="150">
        <f>T124*$T$112</f>
        <v>0</v>
      </c>
      <c r="M124" s="112">
        <f>ROUND(L124*K124,2)</f>
        <v>0</v>
      </c>
      <c r="N124" s="79">
        <v>0</v>
      </c>
      <c r="O124" s="72">
        <f>N124*K124</f>
        <v>0</v>
      </c>
      <c r="P124" s="79">
        <v>0.27</v>
      </c>
      <c r="Q124" s="163">
        <f>P124*K124</f>
        <v>147.69</v>
      </c>
      <c r="R124" s="106"/>
      <c r="T124" s="150"/>
    </row>
    <row r="125" spans="2:22" s="1" customFormat="1" x14ac:dyDescent="0.25">
      <c r="B125" s="68"/>
      <c r="C125" s="131"/>
      <c r="D125" s="131"/>
      <c r="E125" s="225" t="s">
        <v>122</v>
      </c>
      <c r="F125" s="326"/>
      <c r="G125" s="326"/>
      <c r="H125" s="326"/>
      <c r="I125" s="326"/>
      <c r="J125" s="326"/>
      <c r="K125" s="161">
        <v>239</v>
      </c>
      <c r="L125" s="69"/>
      <c r="M125" s="70"/>
      <c r="N125" s="67"/>
      <c r="O125" s="71"/>
      <c r="P125" s="67"/>
      <c r="Q125" s="71"/>
      <c r="R125" s="21"/>
      <c r="T125" s="69"/>
    </row>
    <row r="126" spans="2:22" s="1" customFormat="1" x14ac:dyDescent="0.25">
      <c r="B126" s="68"/>
      <c r="C126" s="131"/>
      <c r="D126" s="131"/>
      <c r="E126" s="195" t="s">
        <v>157</v>
      </c>
      <c r="F126" s="198" t="s">
        <v>160</v>
      </c>
      <c r="G126" s="198"/>
      <c r="H126" s="198"/>
      <c r="I126" s="198"/>
      <c r="J126" s="198"/>
      <c r="K126" s="137">
        <f>ROUNDUP((87+125)*0.1,0)</f>
        <v>22</v>
      </c>
      <c r="L126" s="69"/>
      <c r="M126" s="70"/>
      <c r="N126" s="67"/>
      <c r="O126" s="71"/>
      <c r="P126" s="67"/>
      <c r="Q126" s="71"/>
      <c r="R126" s="21"/>
      <c r="T126" s="69"/>
    </row>
    <row r="127" spans="2:22" s="1" customFormat="1" x14ac:dyDescent="0.25">
      <c r="B127" s="68"/>
      <c r="C127" s="131"/>
      <c r="D127" s="131"/>
      <c r="E127" s="199" t="s">
        <v>123</v>
      </c>
      <c r="F127" s="224"/>
      <c r="G127" s="198"/>
      <c r="H127" s="198"/>
      <c r="I127" s="198"/>
      <c r="J127" s="198"/>
      <c r="K127" s="137">
        <v>263</v>
      </c>
      <c r="L127" s="69"/>
      <c r="M127" s="70"/>
      <c r="N127" s="67"/>
      <c r="O127" s="71"/>
      <c r="P127" s="67"/>
      <c r="Q127" s="71"/>
      <c r="R127" s="21"/>
      <c r="T127" s="69"/>
    </row>
    <row r="128" spans="2:22" s="1" customFormat="1" x14ac:dyDescent="0.25">
      <c r="B128" s="68"/>
      <c r="C128" s="131"/>
      <c r="D128" s="131"/>
      <c r="E128" s="160" t="s">
        <v>162</v>
      </c>
      <c r="F128" s="197" t="s">
        <v>188</v>
      </c>
      <c r="G128" s="158"/>
      <c r="H128" s="158"/>
      <c r="I128" s="158"/>
      <c r="J128" s="158"/>
      <c r="K128" s="162">
        <f>ROUNDUP((11+58+69+85)*0.1,0)</f>
        <v>23</v>
      </c>
      <c r="L128" s="69"/>
      <c r="M128" s="70"/>
      <c r="N128" s="67"/>
      <c r="O128" s="71"/>
      <c r="P128" s="67"/>
      <c r="Q128" s="71"/>
      <c r="R128" s="21"/>
      <c r="T128" s="69"/>
    </row>
    <row r="129" spans="2:20" s="1" customFormat="1" x14ac:dyDescent="0.25">
      <c r="B129" s="68"/>
      <c r="C129" s="131"/>
      <c r="D129" s="131"/>
      <c r="E129" s="159"/>
      <c r="F129" s="125"/>
      <c r="G129" s="126"/>
      <c r="H129" s="126"/>
      <c r="I129" s="126"/>
      <c r="J129" s="127"/>
      <c r="K129" s="128">
        <f>SUM(K125:K128)</f>
        <v>547</v>
      </c>
      <c r="L129" s="69"/>
      <c r="M129" s="70"/>
      <c r="N129" s="67"/>
      <c r="O129" s="71"/>
      <c r="P129" s="67"/>
      <c r="Q129" s="71"/>
      <c r="R129" s="21"/>
      <c r="T129" s="69"/>
    </row>
    <row r="130" spans="2:20" s="1" customFormat="1" ht="27.75" customHeight="1" x14ac:dyDescent="0.25">
      <c r="B130" s="20"/>
      <c r="C130" s="166">
        <v>5</v>
      </c>
      <c r="D130" s="166" t="s">
        <v>72</v>
      </c>
      <c r="E130" s="167" t="s">
        <v>85</v>
      </c>
      <c r="F130" s="324" t="s">
        <v>86</v>
      </c>
      <c r="G130" s="325"/>
      <c r="H130" s="325"/>
      <c r="I130" s="325"/>
      <c r="J130" s="124" t="s">
        <v>73</v>
      </c>
      <c r="K130" s="72">
        <f>K133</f>
        <v>50.1</v>
      </c>
      <c r="L130" s="150">
        <f>T130*$T$112</f>
        <v>0</v>
      </c>
      <c r="M130" s="112">
        <f>ROUND(L130*K130,2)</f>
        <v>0</v>
      </c>
      <c r="N130" s="79">
        <v>0</v>
      </c>
      <c r="O130" s="72">
        <f>N130*K130</f>
        <v>0</v>
      </c>
      <c r="P130" s="79">
        <v>0.11</v>
      </c>
      <c r="Q130" s="154">
        <f>P130*K130</f>
        <v>5.5110000000000001</v>
      </c>
      <c r="R130" s="106"/>
      <c r="T130" s="150"/>
    </row>
    <row r="131" spans="2:20" s="1" customFormat="1" x14ac:dyDescent="0.25">
      <c r="B131" s="68"/>
      <c r="C131" s="131"/>
      <c r="D131" s="131"/>
      <c r="E131" s="195" t="s">
        <v>122</v>
      </c>
      <c r="F131" s="326" t="s">
        <v>155</v>
      </c>
      <c r="G131" s="326"/>
      <c r="H131" s="326"/>
      <c r="I131" s="326"/>
      <c r="J131" s="326"/>
      <c r="K131" s="231">
        <f>(66+87+125)*0.1</f>
        <v>27.8</v>
      </c>
      <c r="L131" s="231"/>
      <c r="M131" s="231"/>
      <c r="N131" s="231"/>
      <c r="O131" s="231"/>
      <c r="P131" s="67"/>
      <c r="Q131" s="71"/>
      <c r="R131" s="21"/>
      <c r="T131" s="231"/>
    </row>
    <row r="132" spans="2:20" s="1" customFormat="1" x14ac:dyDescent="0.25">
      <c r="B132" s="68"/>
      <c r="C132" s="131"/>
      <c r="D132" s="131"/>
      <c r="E132" s="160" t="s">
        <v>123</v>
      </c>
      <c r="F132" s="197" t="s">
        <v>188</v>
      </c>
      <c r="G132" s="158"/>
      <c r="H132" s="158"/>
      <c r="I132" s="158"/>
      <c r="J132" s="158"/>
      <c r="K132" s="232">
        <f>(11+58+69+85)*0.1</f>
        <v>22.3</v>
      </c>
      <c r="L132" s="233"/>
      <c r="M132" s="233"/>
      <c r="N132" s="233"/>
      <c r="O132" s="233"/>
      <c r="P132" s="67"/>
      <c r="Q132" s="71"/>
      <c r="R132" s="21"/>
      <c r="T132" s="233"/>
    </row>
    <row r="133" spans="2:20" s="1" customFormat="1" x14ac:dyDescent="0.25">
      <c r="B133" s="68"/>
      <c r="C133" s="131"/>
      <c r="D133" s="131"/>
      <c r="E133" s="159"/>
      <c r="F133" s="125"/>
      <c r="G133" s="126"/>
      <c r="H133" s="126"/>
      <c r="I133" s="126"/>
      <c r="J133" s="127"/>
      <c r="K133" s="128">
        <f>SUM(K131:K132)</f>
        <v>50.1</v>
      </c>
      <c r="L133" s="203"/>
      <c r="M133" s="204"/>
      <c r="N133" s="226"/>
      <c r="O133" s="227"/>
      <c r="P133" s="67"/>
      <c r="Q133" s="71"/>
      <c r="R133" s="21"/>
      <c r="T133" s="203"/>
    </row>
    <row r="134" spans="2:20" s="1" customFormat="1" ht="27.75" customHeight="1" x14ac:dyDescent="0.25">
      <c r="B134" s="20"/>
      <c r="C134" s="166">
        <v>5</v>
      </c>
      <c r="D134" s="166" t="s">
        <v>72</v>
      </c>
      <c r="E134" s="167" t="s">
        <v>156</v>
      </c>
      <c r="F134" s="324" t="s">
        <v>151</v>
      </c>
      <c r="G134" s="325"/>
      <c r="H134" s="325"/>
      <c r="I134" s="325"/>
      <c r="J134" s="124" t="s">
        <v>73</v>
      </c>
      <c r="K134" s="72">
        <f>K137</f>
        <v>68.2</v>
      </c>
      <c r="L134" s="150">
        <f>T134*$T$112</f>
        <v>0</v>
      </c>
      <c r="M134" s="112">
        <f>ROUND(L134*K134,2)</f>
        <v>0</v>
      </c>
      <c r="N134" s="79">
        <v>0</v>
      </c>
      <c r="O134" s="72">
        <f>N134*K134</f>
        <v>0</v>
      </c>
      <c r="P134" s="79">
        <v>0.22</v>
      </c>
      <c r="Q134" s="154">
        <f>P134*K134</f>
        <v>15.004000000000001</v>
      </c>
      <c r="R134" s="106"/>
      <c r="T134" s="150"/>
    </row>
    <row r="135" spans="2:20" s="1" customFormat="1" x14ac:dyDescent="0.25">
      <c r="B135" s="68"/>
      <c r="C135" s="131"/>
      <c r="D135" s="131"/>
      <c r="E135" s="195" t="s">
        <v>122</v>
      </c>
      <c r="F135" s="326" t="s">
        <v>152</v>
      </c>
      <c r="G135" s="326"/>
      <c r="H135" s="326"/>
      <c r="I135" s="326"/>
      <c r="J135" s="326"/>
      <c r="K135" s="161">
        <f>239*0.1+14*0.5</f>
        <v>30.900000000000002</v>
      </c>
      <c r="L135" s="69"/>
      <c r="M135" s="70"/>
      <c r="N135" s="67"/>
      <c r="O135" s="71"/>
      <c r="P135" s="67"/>
      <c r="Q135" s="71"/>
      <c r="R135" s="21"/>
      <c r="T135" s="69"/>
    </row>
    <row r="136" spans="2:20" s="1" customFormat="1" x14ac:dyDescent="0.25">
      <c r="B136" s="68"/>
      <c r="C136" s="131"/>
      <c r="D136" s="131"/>
      <c r="E136" s="160" t="s">
        <v>123</v>
      </c>
      <c r="F136" s="197" t="s">
        <v>171</v>
      </c>
      <c r="G136" s="158"/>
      <c r="H136" s="158"/>
      <c r="I136" s="158"/>
      <c r="J136" s="158"/>
      <c r="K136" s="162">
        <f>263*0.1+22*0.5</f>
        <v>37.299999999999997</v>
      </c>
      <c r="L136" s="69"/>
      <c r="M136" s="70"/>
      <c r="N136" s="67"/>
      <c r="O136" s="71"/>
      <c r="P136" s="67"/>
      <c r="Q136" s="71"/>
      <c r="R136" s="21"/>
      <c r="T136" s="69"/>
    </row>
    <row r="137" spans="2:20" s="1" customFormat="1" x14ac:dyDescent="0.25">
      <c r="B137" s="68"/>
      <c r="C137" s="131"/>
      <c r="D137" s="131"/>
      <c r="E137" s="159"/>
      <c r="F137" s="125"/>
      <c r="G137" s="126"/>
      <c r="H137" s="126"/>
      <c r="I137" s="126"/>
      <c r="J137" s="127"/>
      <c r="K137" s="128">
        <f>SUM(K135:K136)</f>
        <v>68.2</v>
      </c>
      <c r="L137" s="69"/>
      <c r="M137" s="70"/>
      <c r="N137" s="67"/>
      <c r="O137" s="71"/>
      <c r="P137" s="67"/>
      <c r="Q137" s="71"/>
      <c r="R137" s="21"/>
      <c r="T137" s="69"/>
    </row>
    <row r="138" spans="2:20" s="1" customFormat="1" x14ac:dyDescent="0.25">
      <c r="B138" s="20"/>
      <c r="C138" s="166">
        <v>5</v>
      </c>
      <c r="D138" s="166" t="s">
        <v>72</v>
      </c>
      <c r="E138" s="254" t="s">
        <v>149</v>
      </c>
      <c r="F138" s="324" t="s">
        <v>150</v>
      </c>
      <c r="G138" s="325"/>
      <c r="H138" s="325"/>
      <c r="I138" s="325"/>
      <c r="J138" s="124" t="s">
        <v>73</v>
      </c>
      <c r="K138" s="72">
        <f>K141</f>
        <v>2200.4</v>
      </c>
      <c r="L138" s="150">
        <f>T138*$T$112</f>
        <v>0</v>
      </c>
      <c r="M138" s="112">
        <f>ROUND(L138*K138,2)</f>
        <v>0</v>
      </c>
      <c r="N138" s="79">
        <v>4.0000000000000003E-5</v>
      </c>
      <c r="O138" s="72">
        <f>N138*K138</f>
        <v>8.8016000000000011E-2</v>
      </c>
      <c r="P138" s="79">
        <v>0.11</v>
      </c>
      <c r="Q138" s="154">
        <f>P138*K138</f>
        <v>242.04400000000001</v>
      </c>
      <c r="R138" s="106"/>
      <c r="T138" s="150"/>
    </row>
    <row r="139" spans="2:20" s="1" customFormat="1" ht="13.5" customHeight="1" x14ac:dyDescent="0.25">
      <c r="B139" s="20"/>
      <c r="C139" s="157"/>
      <c r="D139" s="157"/>
      <c r="E139" s="195" t="s">
        <v>122</v>
      </c>
      <c r="F139" s="326" t="s">
        <v>169</v>
      </c>
      <c r="G139" s="326"/>
      <c r="H139" s="326"/>
      <c r="I139" s="326"/>
      <c r="J139" s="326"/>
      <c r="K139" s="229">
        <f>1184-((66+87+125)*0.1)-239*0.25</f>
        <v>1096.45</v>
      </c>
      <c r="L139" s="230"/>
      <c r="M139" s="87"/>
      <c r="N139" s="156"/>
      <c r="O139" s="115"/>
      <c r="P139" s="156"/>
      <c r="Q139" s="115"/>
      <c r="R139" s="21"/>
      <c r="T139" s="230"/>
    </row>
    <row r="140" spans="2:20" s="1" customFormat="1" x14ac:dyDescent="0.25">
      <c r="B140" s="20"/>
      <c r="C140" s="157"/>
      <c r="D140" s="157"/>
      <c r="E140" s="160" t="s">
        <v>123</v>
      </c>
      <c r="F140" s="197" t="s">
        <v>189</v>
      </c>
      <c r="G140" s="158"/>
      <c r="H140" s="158"/>
      <c r="I140" s="158"/>
      <c r="J140" s="158"/>
      <c r="K140" s="229">
        <f>1192-((11+58+69+85)*0.1)-263*0.25</f>
        <v>1103.95</v>
      </c>
      <c r="L140" s="230"/>
      <c r="M140" s="87"/>
      <c r="N140" s="156"/>
      <c r="O140" s="115"/>
      <c r="P140" s="156"/>
      <c r="Q140" s="115"/>
      <c r="R140" s="21"/>
      <c r="T140" s="230"/>
    </row>
    <row r="141" spans="2:20" s="1" customFormat="1" x14ac:dyDescent="0.25">
      <c r="B141" s="68"/>
      <c r="C141" s="131"/>
      <c r="D141" s="131"/>
      <c r="E141" s="251"/>
      <c r="F141" s="125"/>
      <c r="G141" s="126"/>
      <c r="H141" s="126"/>
      <c r="I141" s="126"/>
      <c r="J141" s="127"/>
      <c r="K141" s="128">
        <f>SUM(K139:K140)</f>
        <v>2200.4</v>
      </c>
      <c r="L141" s="69"/>
      <c r="M141" s="70"/>
      <c r="N141" s="67"/>
      <c r="O141" s="71"/>
      <c r="P141" s="67"/>
      <c r="Q141" s="71"/>
      <c r="R141" s="21"/>
      <c r="T141" s="69"/>
    </row>
    <row r="142" spans="2:20" s="1" customFormat="1" x14ac:dyDescent="0.25">
      <c r="B142" s="20"/>
      <c r="C142" s="166">
        <v>6</v>
      </c>
      <c r="D142" s="166" t="s">
        <v>72</v>
      </c>
      <c r="E142" s="167" t="s">
        <v>120</v>
      </c>
      <c r="F142" s="324" t="s">
        <v>121</v>
      </c>
      <c r="G142" s="325"/>
      <c r="H142" s="325"/>
      <c r="I142" s="325"/>
      <c r="J142" s="124" t="s">
        <v>73</v>
      </c>
      <c r="K142" s="72">
        <f>K147</f>
        <v>559.29999999999995</v>
      </c>
      <c r="L142" s="150">
        <f>T142*$T$112</f>
        <v>0</v>
      </c>
      <c r="M142" s="112">
        <f>ROUND(L142*K142,2)</f>
        <v>0</v>
      </c>
      <c r="N142" s="79">
        <v>0</v>
      </c>
      <c r="O142" s="72">
        <f>N142*K142</f>
        <v>0</v>
      </c>
      <c r="P142" s="79">
        <v>0.22</v>
      </c>
      <c r="Q142" s="154">
        <f>P142*K142</f>
        <v>123.04599999999999</v>
      </c>
      <c r="R142" s="106"/>
      <c r="T142" s="150"/>
    </row>
    <row r="143" spans="2:20" s="184" customFormat="1" ht="13.5" customHeight="1" x14ac:dyDescent="0.25">
      <c r="B143" s="185"/>
      <c r="C143" s="186"/>
      <c r="D143" s="186"/>
      <c r="E143" s="225" t="s">
        <v>122</v>
      </c>
      <c r="F143" s="326" t="s">
        <v>153</v>
      </c>
      <c r="G143" s="326"/>
      <c r="H143" s="326"/>
      <c r="I143" s="326"/>
      <c r="J143" s="326"/>
      <c r="K143" s="161">
        <f>239-(239*0.1+14*0.5)</f>
        <v>208.1</v>
      </c>
      <c r="L143" s="137"/>
      <c r="M143" s="188"/>
      <c r="N143" s="189"/>
      <c r="O143" s="137"/>
      <c r="P143" s="189"/>
      <c r="Q143" s="137"/>
      <c r="R143" s="190"/>
      <c r="T143" s="137"/>
    </row>
    <row r="144" spans="2:20" s="184" customFormat="1" x14ac:dyDescent="0.25">
      <c r="B144" s="185"/>
      <c r="C144" s="186"/>
      <c r="D144" s="186"/>
      <c r="E144" s="195" t="s">
        <v>158</v>
      </c>
      <c r="F144" s="196" t="s">
        <v>154</v>
      </c>
      <c r="J144" s="187"/>
      <c r="K144" s="137">
        <f>239*0.25</f>
        <v>59.75</v>
      </c>
      <c r="L144" s="137"/>
      <c r="M144" s="188"/>
      <c r="N144" s="189"/>
      <c r="O144" s="137"/>
      <c r="P144" s="189"/>
      <c r="Q144" s="137"/>
      <c r="R144" s="190"/>
      <c r="T144" s="137"/>
    </row>
    <row r="145" spans="2:20" s="184" customFormat="1" x14ac:dyDescent="0.25">
      <c r="B145" s="191"/>
      <c r="C145" s="192"/>
      <c r="D145" s="192"/>
      <c r="E145" s="199" t="s">
        <v>123</v>
      </c>
      <c r="F145" s="224" t="s">
        <v>172</v>
      </c>
      <c r="G145" s="198"/>
      <c r="H145" s="198"/>
      <c r="I145" s="198"/>
      <c r="J145" s="198"/>
      <c r="K145" s="137">
        <f>263-(263*0.1+22*0.5)</f>
        <v>225.7</v>
      </c>
      <c r="L145" s="193"/>
      <c r="M145" s="194"/>
      <c r="N145" s="189"/>
      <c r="O145" s="137"/>
      <c r="P145" s="189"/>
      <c r="Q145" s="137"/>
      <c r="R145" s="190"/>
      <c r="T145" s="193"/>
    </row>
    <row r="146" spans="2:20" s="184" customFormat="1" x14ac:dyDescent="0.25">
      <c r="B146" s="191"/>
      <c r="C146" s="192"/>
      <c r="D146" s="192"/>
      <c r="E146" s="160" t="s">
        <v>159</v>
      </c>
      <c r="F146" s="158" t="s">
        <v>173</v>
      </c>
      <c r="G146" s="158"/>
      <c r="H146" s="158"/>
      <c r="I146" s="158"/>
      <c r="J146" s="158"/>
      <c r="K146" s="162">
        <f>263*0.25</f>
        <v>65.75</v>
      </c>
      <c r="L146" s="193"/>
      <c r="M146" s="194"/>
      <c r="N146" s="189"/>
      <c r="O146" s="137"/>
      <c r="P146" s="189"/>
      <c r="Q146" s="137"/>
      <c r="R146" s="190"/>
      <c r="T146" s="193"/>
    </row>
    <row r="147" spans="2:20" s="1" customFormat="1" x14ac:dyDescent="0.25">
      <c r="B147" s="68"/>
      <c r="C147" s="131"/>
      <c r="D147" s="131"/>
      <c r="E147" s="159"/>
      <c r="F147" s="125"/>
      <c r="G147" s="126"/>
      <c r="H147" s="126"/>
      <c r="I147" s="126"/>
      <c r="J147" s="127"/>
      <c r="K147" s="128">
        <f>SUM(K143:K146)</f>
        <v>559.29999999999995</v>
      </c>
      <c r="L147" s="69"/>
      <c r="M147" s="70"/>
      <c r="N147" s="67"/>
      <c r="O147" s="71"/>
      <c r="P147" s="67"/>
      <c r="Q147" s="71"/>
      <c r="R147" s="21"/>
      <c r="T147" s="69"/>
    </row>
    <row r="148" spans="2:20" s="99" customFormat="1" ht="15" x14ac:dyDescent="0.3">
      <c r="B148" s="98"/>
      <c r="D148" s="84" t="s">
        <v>62</v>
      </c>
      <c r="E148" s="84"/>
      <c r="F148" s="84"/>
      <c r="G148" s="84"/>
      <c r="H148" s="84"/>
      <c r="I148" s="84"/>
      <c r="J148" s="84"/>
      <c r="K148" s="84"/>
      <c r="L148" s="84"/>
      <c r="M148" s="111">
        <f>SUM(M149:M188)</f>
        <v>0</v>
      </c>
      <c r="O148" s="100">
        <f>SUM(O149:O188)</f>
        <v>671.46736750000002</v>
      </c>
      <c r="Q148" s="100">
        <f>SUM(Q149:Q182)</f>
        <v>0</v>
      </c>
      <c r="R148" s="105"/>
      <c r="T148" s="84"/>
    </row>
    <row r="149" spans="2:20" s="1" customFormat="1" x14ac:dyDescent="0.25">
      <c r="B149" s="20"/>
      <c r="C149" s="166">
        <v>7</v>
      </c>
      <c r="D149" s="166" t="s">
        <v>72</v>
      </c>
      <c r="E149" s="167" t="s">
        <v>128</v>
      </c>
      <c r="F149" s="324" t="s">
        <v>129</v>
      </c>
      <c r="G149" s="324"/>
      <c r="H149" s="324"/>
      <c r="I149" s="324"/>
      <c r="J149" s="124" t="s">
        <v>76</v>
      </c>
      <c r="K149" s="72">
        <f>0.25*(O151+O158)</f>
        <v>113.9225175</v>
      </c>
      <c r="L149" s="150">
        <f t="shared" ref="L149:L151" si="0">T149*$T$112</f>
        <v>0</v>
      </c>
      <c r="M149" s="112">
        <f>ROUND(L149*K149,2)</f>
        <v>0</v>
      </c>
      <c r="N149" s="79">
        <v>1</v>
      </c>
      <c r="O149" s="72">
        <f>N149*K149</f>
        <v>113.9225175</v>
      </c>
      <c r="P149" s="79">
        <v>0</v>
      </c>
      <c r="Q149" s="72">
        <f>P149*K149</f>
        <v>0</v>
      </c>
      <c r="R149" s="106"/>
      <c r="T149" s="150"/>
    </row>
    <row r="150" spans="2:20" s="1" customFormat="1" ht="27" customHeight="1" x14ac:dyDescent="0.25">
      <c r="B150" s="20"/>
      <c r="C150" s="168">
        <v>8</v>
      </c>
      <c r="D150" s="168" t="s">
        <v>72</v>
      </c>
      <c r="E150" s="169" t="s">
        <v>126</v>
      </c>
      <c r="F150" s="335" t="s">
        <v>127</v>
      </c>
      <c r="G150" s="335"/>
      <c r="H150" s="335"/>
      <c r="I150" s="335"/>
      <c r="J150" s="129" t="s">
        <v>73</v>
      </c>
      <c r="K150" s="73">
        <f>K156</f>
        <v>645.5</v>
      </c>
      <c r="L150" s="151">
        <f t="shared" si="0"/>
        <v>0</v>
      </c>
      <c r="M150" s="113">
        <f>ROUND(L150*K150,2)</f>
        <v>0</v>
      </c>
      <c r="N150" s="80">
        <v>6.9999999999999999E-4</v>
      </c>
      <c r="O150" s="73">
        <f>N150*K150</f>
        <v>0.45184999999999997</v>
      </c>
      <c r="P150" s="80">
        <v>0</v>
      </c>
      <c r="Q150" s="73">
        <f>P150*K150</f>
        <v>0</v>
      </c>
      <c r="R150" s="106"/>
      <c r="T150" s="151"/>
    </row>
    <row r="151" spans="2:20" s="1" customFormat="1" ht="13.5" customHeight="1" x14ac:dyDescent="0.25">
      <c r="B151" s="20"/>
      <c r="C151" s="170">
        <v>9</v>
      </c>
      <c r="D151" s="170" t="s">
        <v>72</v>
      </c>
      <c r="E151" s="257" t="s">
        <v>182</v>
      </c>
      <c r="F151" s="327" t="s">
        <v>183</v>
      </c>
      <c r="G151" s="328"/>
      <c r="H151" s="328"/>
      <c r="I151" s="328"/>
      <c r="J151" s="130" t="s">
        <v>73</v>
      </c>
      <c r="K151" s="75">
        <f>K156</f>
        <v>645.5</v>
      </c>
      <c r="L151" s="153">
        <f t="shared" si="0"/>
        <v>0</v>
      </c>
      <c r="M151" s="114">
        <f>ROUND(L151*K151,2)</f>
        <v>0</v>
      </c>
      <c r="N151" s="82">
        <v>0.12966</v>
      </c>
      <c r="O151" s="75">
        <f>N151*K151</f>
        <v>83.695530000000005</v>
      </c>
      <c r="P151" s="82">
        <v>0</v>
      </c>
      <c r="Q151" s="75">
        <f>P151*K151</f>
        <v>0</v>
      </c>
      <c r="R151" s="106"/>
      <c r="T151" s="153"/>
    </row>
    <row r="152" spans="2:20" s="1" customFormat="1" x14ac:dyDescent="0.25">
      <c r="B152" s="20"/>
      <c r="C152" s="157"/>
      <c r="D152" s="157"/>
      <c r="E152" s="225" t="s">
        <v>122</v>
      </c>
      <c r="F152" s="326" t="s">
        <v>193</v>
      </c>
      <c r="G152" s="326"/>
      <c r="H152" s="326"/>
      <c r="I152" s="326"/>
      <c r="J152" s="326"/>
      <c r="K152" s="161">
        <f>239+14*0.5</f>
        <v>246</v>
      </c>
      <c r="L152" s="87"/>
      <c r="M152" s="87"/>
      <c r="N152" s="156"/>
      <c r="O152" s="115"/>
      <c r="P152" s="156"/>
      <c r="Q152" s="115"/>
      <c r="R152" s="21"/>
      <c r="T152" s="87"/>
    </row>
    <row r="153" spans="2:20" s="1" customFormat="1" x14ac:dyDescent="0.25">
      <c r="B153" s="20"/>
      <c r="C153" s="157"/>
      <c r="D153" s="157"/>
      <c r="E153" s="195" t="s">
        <v>158</v>
      </c>
      <c r="F153" s="196" t="s">
        <v>154</v>
      </c>
      <c r="G153" s="184"/>
      <c r="H153" s="184"/>
      <c r="I153" s="184"/>
      <c r="J153" s="187"/>
      <c r="K153" s="137">
        <f>239*0.25</f>
        <v>59.75</v>
      </c>
      <c r="L153" s="87"/>
      <c r="M153" s="87"/>
      <c r="N153" s="156"/>
      <c r="O153" s="115"/>
      <c r="P153" s="156"/>
      <c r="Q153" s="115"/>
      <c r="R153" s="21"/>
      <c r="T153" s="87"/>
    </row>
    <row r="154" spans="2:20" s="1" customFormat="1" x14ac:dyDescent="0.25">
      <c r="B154" s="20"/>
      <c r="C154" s="157"/>
      <c r="D154" s="157"/>
      <c r="E154" s="199" t="s">
        <v>123</v>
      </c>
      <c r="F154" s="224" t="s">
        <v>194</v>
      </c>
      <c r="G154" s="198"/>
      <c r="H154" s="198"/>
      <c r="I154" s="198"/>
      <c r="J154" s="198"/>
      <c r="K154" s="137">
        <f>263+22*0.5</f>
        <v>274</v>
      </c>
      <c r="L154" s="87"/>
      <c r="M154" s="87"/>
      <c r="N154" s="156"/>
      <c r="O154" s="115"/>
      <c r="P154" s="156"/>
      <c r="Q154" s="115"/>
      <c r="R154" s="21"/>
      <c r="T154" s="87"/>
    </row>
    <row r="155" spans="2:20" s="1" customFormat="1" x14ac:dyDescent="0.25">
      <c r="B155" s="20"/>
      <c r="C155" s="157"/>
      <c r="D155" s="157"/>
      <c r="E155" s="160" t="s">
        <v>159</v>
      </c>
      <c r="F155" s="158" t="s">
        <v>173</v>
      </c>
      <c r="G155" s="158"/>
      <c r="H155" s="158"/>
      <c r="I155" s="158"/>
      <c r="J155" s="158"/>
      <c r="K155" s="162">
        <f>263*0.25</f>
        <v>65.75</v>
      </c>
      <c r="L155" s="87"/>
      <c r="M155" s="87"/>
      <c r="N155" s="156"/>
      <c r="O155" s="115"/>
      <c r="P155" s="156"/>
      <c r="Q155" s="115"/>
      <c r="R155" s="21"/>
      <c r="T155" s="87"/>
    </row>
    <row r="156" spans="2:20" s="1" customFormat="1" x14ac:dyDescent="0.25">
      <c r="B156" s="68"/>
      <c r="C156" s="131"/>
      <c r="D156" s="131"/>
      <c r="E156" s="159"/>
      <c r="F156" s="125"/>
      <c r="G156" s="126"/>
      <c r="H156" s="126"/>
      <c r="I156" s="126"/>
      <c r="J156" s="127"/>
      <c r="K156" s="128">
        <f>SUM(K152:K155)</f>
        <v>645.5</v>
      </c>
      <c r="L156" s="69"/>
      <c r="M156" s="70"/>
      <c r="N156" s="67"/>
      <c r="O156" s="71"/>
      <c r="P156" s="67"/>
      <c r="Q156" s="71"/>
      <c r="R156" s="21"/>
      <c r="T156" s="69"/>
    </row>
    <row r="157" spans="2:20" s="1" customFormat="1" ht="27" customHeight="1" x14ac:dyDescent="0.25">
      <c r="B157" s="20"/>
      <c r="C157" s="168">
        <v>10</v>
      </c>
      <c r="D157" s="168" t="s">
        <v>72</v>
      </c>
      <c r="E157" s="169" t="s">
        <v>126</v>
      </c>
      <c r="F157" s="335" t="s">
        <v>127</v>
      </c>
      <c r="G157" s="335"/>
      <c r="H157" s="335"/>
      <c r="I157" s="335"/>
      <c r="J157" s="129" t="s">
        <v>73</v>
      </c>
      <c r="K157" s="73">
        <f>K161</f>
        <v>2869</v>
      </c>
      <c r="L157" s="151">
        <f t="shared" ref="L157:L158" si="1">T157*$T$112</f>
        <v>0</v>
      </c>
      <c r="M157" s="113">
        <f>ROUND(L157*K157,2)</f>
        <v>0</v>
      </c>
      <c r="N157" s="80">
        <v>6.9999999999999999E-4</v>
      </c>
      <c r="O157" s="73">
        <f>N157*K157</f>
        <v>2.0083000000000002</v>
      </c>
      <c r="P157" s="80">
        <v>0</v>
      </c>
      <c r="Q157" s="73">
        <f>P157*K157</f>
        <v>0</v>
      </c>
      <c r="R157" s="106"/>
      <c r="T157" s="151"/>
    </row>
    <row r="158" spans="2:20" s="1" customFormat="1" ht="13.5" customHeight="1" x14ac:dyDescent="0.25">
      <c r="B158" s="20"/>
      <c r="C158" s="170">
        <v>11</v>
      </c>
      <c r="D158" s="170" t="s">
        <v>72</v>
      </c>
      <c r="E158" s="257" t="s">
        <v>184</v>
      </c>
      <c r="F158" s="327" t="s">
        <v>185</v>
      </c>
      <c r="G158" s="328"/>
      <c r="H158" s="328"/>
      <c r="I158" s="328"/>
      <c r="J158" s="130" t="s">
        <v>73</v>
      </c>
      <c r="K158" s="75">
        <f>K161</f>
        <v>2869</v>
      </c>
      <c r="L158" s="153">
        <f t="shared" si="1"/>
        <v>0</v>
      </c>
      <c r="M158" s="114">
        <f>ROUND(L158*K158,2)</f>
        <v>0</v>
      </c>
      <c r="N158" s="82">
        <v>0.12966</v>
      </c>
      <c r="O158" s="75">
        <f>N158*K158</f>
        <v>371.99453999999997</v>
      </c>
      <c r="P158" s="82">
        <v>0</v>
      </c>
      <c r="Q158" s="75">
        <f>P158*K158</f>
        <v>0</v>
      </c>
      <c r="R158" s="106"/>
      <c r="T158" s="153"/>
    </row>
    <row r="159" spans="2:20" x14ac:dyDescent="0.3">
      <c r="B159" s="238"/>
      <c r="C159" s="157"/>
      <c r="D159" s="157"/>
      <c r="E159" s="225" t="s">
        <v>122</v>
      </c>
      <c r="F159" s="326" t="s">
        <v>170</v>
      </c>
      <c r="G159" s="326"/>
      <c r="H159" s="326"/>
      <c r="I159" s="326"/>
      <c r="J159" s="326"/>
      <c r="K159" s="161">
        <f>1184+239</f>
        <v>1423</v>
      </c>
      <c r="L159" s="87"/>
      <c r="M159" s="87"/>
      <c r="N159" s="156"/>
      <c r="O159" s="115"/>
      <c r="P159" s="156"/>
      <c r="Q159" s="115"/>
      <c r="R159" s="239"/>
      <c r="T159" s="87"/>
    </row>
    <row r="160" spans="2:20" x14ac:dyDescent="0.3">
      <c r="B160" s="238"/>
      <c r="C160" s="157"/>
      <c r="D160" s="157"/>
      <c r="E160" s="199" t="s">
        <v>123</v>
      </c>
      <c r="F160" s="224" t="s">
        <v>187</v>
      </c>
      <c r="G160" s="198"/>
      <c r="H160" s="198"/>
      <c r="I160" s="198"/>
      <c r="J160" s="198"/>
      <c r="K160" s="137">
        <f>1183+263</f>
        <v>1446</v>
      </c>
      <c r="L160" s="87"/>
      <c r="M160" s="87"/>
      <c r="N160" s="156"/>
      <c r="O160" s="115"/>
      <c r="P160" s="156"/>
      <c r="Q160" s="115"/>
      <c r="R160" s="239"/>
      <c r="T160" s="87"/>
    </row>
    <row r="161" spans="2:20" x14ac:dyDescent="0.3">
      <c r="B161" s="238"/>
      <c r="C161" s="131"/>
      <c r="D161" s="131"/>
      <c r="E161" s="159"/>
      <c r="F161" s="125"/>
      <c r="G161" s="126"/>
      <c r="H161" s="126"/>
      <c r="I161" s="126"/>
      <c r="J161" s="127"/>
      <c r="K161" s="128">
        <f>SUM(K159:K160)</f>
        <v>2869</v>
      </c>
      <c r="L161" s="69"/>
      <c r="M161" s="70"/>
      <c r="N161" s="67"/>
      <c r="O161" s="71"/>
      <c r="P161" s="67"/>
      <c r="Q161" s="71"/>
      <c r="R161" s="239"/>
      <c r="T161" s="69"/>
    </row>
    <row r="162" spans="2:20" s="1" customFormat="1" ht="27.75" customHeight="1" x14ac:dyDescent="0.25">
      <c r="B162" s="20"/>
      <c r="C162" s="166">
        <v>12</v>
      </c>
      <c r="D162" s="166" t="s">
        <v>72</v>
      </c>
      <c r="E162" s="167" t="s">
        <v>130</v>
      </c>
      <c r="F162" s="324" t="s">
        <v>134</v>
      </c>
      <c r="G162" s="324"/>
      <c r="H162" s="324"/>
      <c r="I162" s="324"/>
      <c r="J162" s="124" t="s">
        <v>74</v>
      </c>
      <c r="K162" s="72">
        <f>K165</f>
        <v>26</v>
      </c>
      <c r="L162" s="150">
        <f>T162*$T$112</f>
        <v>0</v>
      </c>
      <c r="M162" s="112">
        <f>ROUND(L162*K162,2)</f>
        <v>0</v>
      </c>
      <c r="N162" s="79">
        <v>0.18806</v>
      </c>
      <c r="O162" s="72">
        <f>N162*K162</f>
        <v>4.8895600000000004</v>
      </c>
      <c r="P162" s="79">
        <v>0</v>
      </c>
      <c r="Q162" s="72">
        <f>P162*K162</f>
        <v>0</v>
      </c>
      <c r="R162" s="106"/>
      <c r="T162" s="150"/>
    </row>
    <row r="163" spans="2:20" s="1" customFormat="1" x14ac:dyDescent="0.25">
      <c r="B163" s="20"/>
      <c r="C163" s="157"/>
      <c r="D163" s="157"/>
      <c r="E163" s="195" t="s">
        <v>122</v>
      </c>
      <c r="F163" s="326"/>
      <c r="G163" s="326"/>
      <c r="H163" s="326"/>
      <c r="I163" s="326"/>
      <c r="J163" s="326"/>
      <c r="K163" s="137">
        <f>K117</f>
        <v>15</v>
      </c>
      <c r="L163" s="87"/>
      <c r="M163" s="87"/>
      <c r="N163" s="156"/>
      <c r="O163" s="115"/>
      <c r="P163" s="156"/>
      <c r="Q163" s="115"/>
      <c r="R163" s="21"/>
      <c r="T163" s="87"/>
    </row>
    <row r="164" spans="2:20" s="1" customFormat="1" x14ac:dyDescent="0.25">
      <c r="B164" s="20"/>
      <c r="C164" s="157"/>
      <c r="D164" s="157"/>
      <c r="E164" s="160" t="s">
        <v>123</v>
      </c>
      <c r="F164" s="198"/>
      <c r="G164" s="198"/>
      <c r="H164" s="198"/>
      <c r="I164" s="198"/>
      <c r="J164" s="198"/>
      <c r="K164" s="137">
        <f>K118</f>
        <v>11</v>
      </c>
      <c r="L164" s="87"/>
      <c r="M164" s="87"/>
      <c r="N164" s="156"/>
      <c r="O164" s="115"/>
      <c r="P164" s="156"/>
      <c r="Q164" s="115"/>
      <c r="R164" s="21"/>
      <c r="T164" s="87"/>
    </row>
    <row r="165" spans="2:20" s="1" customFormat="1" ht="12.75" customHeight="1" x14ac:dyDescent="0.25">
      <c r="B165" s="68"/>
      <c r="C165" s="131"/>
      <c r="D165" s="131"/>
      <c r="E165" s="159"/>
      <c r="F165" s="125"/>
      <c r="G165" s="126"/>
      <c r="H165" s="126"/>
      <c r="I165" s="126"/>
      <c r="J165" s="127"/>
      <c r="K165" s="128">
        <f>SUM(K163:K164)</f>
        <v>26</v>
      </c>
      <c r="L165" s="69"/>
      <c r="M165" s="70"/>
      <c r="N165" s="67"/>
      <c r="O165" s="71"/>
      <c r="P165" s="67"/>
      <c r="Q165" s="71"/>
      <c r="R165" s="21"/>
      <c r="T165" s="69"/>
    </row>
    <row r="166" spans="2:20" s="1" customFormat="1" x14ac:dyDescent="0.25">
      <c r="B166" s="20"/>
      <c r="C166" s="166">
        <v>13</v>
      </c>
      <c r="D166" s="166" t="s">
        <v>72</v>
      </c>
      <c r="E166" s="167" t="s">
        <v>116</v>
      </c>
      <c r="F166" s="324" t="s">
        <v>117</v>
      </c>
      <c r="G166" s="324"/>
      <c r="H166" s="324"/>
      <c r="I166" s="324"/>
      <c r="J166" s="124" t="s">
        <v>74</v>
      </c>
      <c r="K166" s="72">
        <f>K170</f>
        <v>67.5</v>
      </c>
      <c r="L166" s="150">
        <f>T166*$T$112</f>
        <v>0</v>
      </c>
      <c r="M166" s="112">
        <f>ROUND(L166*K166,2)</f>
        <v>0</v>
      </c>
      <c r="N166" s="79">
        <v>0.10249999999999999</v>
      </c>
      <c r="O166" s="72">
        <f>N166*K166</f>
        <v>6.9187499999999993</v>
      </c>
      <c r="P166" s="79">
        <v>0</v>
      </c>
      <c r="Q166" s="72">
        <f>P166*K166</f>
        <v>0</v>
      </c>
      <c r="R166" s="106"/>
      <c r="T166" s="150"/>
    </row>
    <row r="167" spans="2:20" s="1" customFormat="1" x14ac:dyDescent="0.25">
      <c r="B167" s="68"/>
      <c r="C167" s="131"/>
      <c r="D167" s="131"/>
      <c r="E167" s="195" t="s">
        <v>178</v>
      </c>
      <c r="F167" s="339" t="s">
        <v>177</v>
      </c>
      <c r="G167" s="339"/>
      <c r="H167" s="339"/>
      <c r="I167" s="339"/>
      <c r="J167" s="339"/>
      <c r="K167" s="137">
        <f>5+4+5.5</f>
        <v>14.5</v>
      </c>
      <c r="L167" s="69"/>
      <c r="M167" s="70"/>
      <c r="N167" s="67"/>
      <c r="O167" s="71"/>
      <c r="P167" s="67"/>
      <c r="Q167" s="71"/>
      <c r="R167" s="21"/>
      <c r="T167" s="69"/>
    </row>
    <row r="168" spans="2:20" s="1" customFormat="1" x14ac:dyDescent="0.25">
      <c r="B168" s="68"/>
      <c r="C168" s="131"/>
      <c r="D168" s="131"/>
      <c r="E168" s="195" t="s">
        <v>179</v>
      </c>
      <c r="F168" s="339" t="s">
        <v>180</v>
      </c>
      <c r="G168" s="339"/>
      <c r="H168" s="339"/>
      <c r="I168" s="339"/>
      <c r="J168" s="339"/>
      <c r="K168" s="137">
        <v>29</v>
      </c>
      <c r="L168" s="69"/>
      <c r="M168" s="70"/>
      <c r="N168" s="67"/>
      <c r="O168" s="71"/>
      <c r="P168" s="67"/>
      <c r="Q168" s="71"/>
      <c r="R168" s="21"/>
      <c r="T168" s="69"/>
    </row>
    <row r="169" spans="2:20" s="1" customFormat="1" x14ac:dyDescent="0.25">
      <c r="B169" s="68"/>
      <c r="C169" s="131"/>
      <c r="D169" s="131"/>
      <c r="E169" s="160" t="s">
        <v>181</v>
      </c>
      <c r="F169" s="197" t="s">
        <v>191</v>
      </c>
      <c r="G169" s="158"/>
      <c r="H169" s="158"/>
      <c r="I169" s="158"/>
      <c r="J169" s="158"/>
      <c r="K169" s="162">
        <f>3+3+3+3+3+9</f>
        <v>24</v>
      </c>
      <c r="L169" s="69"/>
      <c r="M169" s="70"/>
      <c r="N169" s="67"/>
      <c r="O169" s="71"/>
      <c r="P169" s="67"/>
      <c r="Q169" s="71"/>
      <c r="R169" s="21"/>
      <c r="T169" s="69"/>
    </row>
    <row r="170" spans="2:20" s="1" customFormat="1" x14ac:dyDescent="0.25">
      <c r="B170" s="68"/>
      <c r="C170" s="131"/>
      <c r="D170" s="131"/>
      <c r="E170" s="159"/>
      <c r="F170" s="125"/>
      <c r="G170" s="126"/>
      <c r="H170" s="126"/>
      <c r="I170" s="126"/>
      <c r="J170" s="127"/>
      <c r="K170" s="128">
        <f>SUM(K167:K169)</f>
        <v>67.5</v>
      </c>
      <c r="L170" s="69"/>
      <c r="M170" s="70"/>
      <c r="N170" s="67"/>
      <c r="O170" s="71"/>
      <c r="P170" s="67"/>
      <c r="Q170" s="71"/>
      <c r="R170" s="21"/>
      <c r="T170" s="69"/>
    </row>
    <row r="171" spans="2:20" s="1" customFormat="1" x14ac:dyDescent="0.25">
      <c r="B171" s="143"/>
      <c r="C171" s="252">
        <v>14</v>
      </c>
      <c r="D171" s="252" t="s">
        <v>118</v>
      </c>
      <c r="E171" s="258"/>
      <c r="F171" s="343" t="s">
        <v>119</v>
      </c>
      <c r="G171" s="343"/>
      <c r="H171" s="343"/>
      <c r="I171" s="343"/>
      <c r="J171" s="245" t="s">
        <v>75</v>
      </c>
      <c r="K171" s="246">
        <f>ROUNDUP((K166-29)*1.025,0)</f>
        <v>40</v>
      </c>
      <c r="L171" s="247">
        <v>0</v>
      </c>
      <c r="M171" s="248">
        <f>ROUND(L171*K171,2)</f>
        <v>0</v>
      </c>
      <c r="N171" s="249">
        <v>0.08</v>
      </c>
      <c r="O171" s="250">
        <f>N171*K171</f>
        <v>3.2</v>
      </c>
      <c r="P171" s="249">
        <v>0</v>
      </c>
      <c r="Q171" s="250">
        <f>P171*K171</f>
        <v>0</v>
      </c>
      <c r="R171" s="145"/>
      <c r="S171" s="164"/>
      <c r="T171" s="247"/>
    </row>
    <row r="172" spans="2:20" s="1" customFormat="1" ht="28.5" customHeight="1" x14ac:dyDescent="0.25">
      <c r="B172" s="143"/>
      <c r="C172" s="223">
        <v>15</v>
      </c>
      <c r="D172" s="223" t="s">
        <v>118</v>
      </c>
      <c r="E172" s="209"/>
      <c r="F172" s="344" t="s">
        <v>135</v>
      </c>
      <c r="G172" s="344"/>
      <c r="H172" s="344"/>
      <c r="I172" s="344"/>
      <c r="J172" s="210" t="s">
        <v>75</v>
      </c>
      <c r="K172" s="211">
        <f>ROUNDUP(29*1.025,0)</f>
        <v>30</v>
      </c>
      <c r="L172" s="207">
        <v>0</v>
      </c>
      <c r="M172" s="212">
        <f>ROUND(L172*K172,2)</f>
        <v>0</v>
      </c>
      <c r="N172" s="208">
        <v>4.8000000000000001E-2</v>
      </c>
      <c r="O172" s="206">
        <f>N172*K172</f>
        <v>1.44</v>
      </c>
      <c r="P172" s="208">
        <v>0</v>
      </c>
      <c r="Q172" s="206">
        <f>P172*K172</f>
        <v>0</v>
      </c>
      <c r="R172" s="145"/>
      <c r="S172" s="164"/>
      <c r="T172" s="207"/>
    </row>
    <row r="173" spans="2:20" s="1" customFormat="1" x14ac:dyDescent="0.25">
      <c r="B173" s="68"/>
      <c r="C173" s="131"/>
      <c r="D173" s="131"/>
      <c r="E173" s="195"/>
      <c r="F173" s="326" t="s">
        <v>174</v>
      </c>
      <c r="G173" s="326"/>
      <c r="H173" s="326"/>
      <c r="I173" s="326"/>
      <c r="J173" s="326"/>
      <c r="K173" s="161"/>
      <c r="L173" s="69"/>
      <c r="M173" s="70"/>
      <c r="N173" s="67"/>
      <c r="O173" s="71"/>
      <c r="P173" s="67"/>
      <c r="Q173" s="71"/>
      <c r="R173" s="21"/>
      <c r="T173" s="69"/>
    </row>
    <row r="174" spans="2:20" s="1" customFormat="1" x14ac:dyDescent="0.25">
      <c r="B174" s="20"/>
      <c r="C174" s="166">
        <v>16</v>
      </c>
      <c r="D174" s="166" t="s">
        <v>72</v>
      </c>
      <c r="E174" s="167" t="s">
        <v>111</v>
      </c>
      <c r="F174" s="324" t="s">
        <v>112</v>
      </c>
      <c r="G174" s="324"/>
      <c r="H174" s="324"/>
      <c r="I174" s="324"/>
      <c r="J174" s="124" t="s">
        <v>74</v>
      </c>
      <c r="K174" s="72">
        <f>K181</f>
        <v>650</v>
      </c>
      <c r="L174" s="150">
        <f>T174*$T$112</f>
        <v>0</v>
      </c>
      <c r="M174" s="112">
        <f>ROUND(L174*K174,2)</f>
        <v>0</v>
      </c>
      <c r="N174" s="79">
        <v>8.2320000000000004E-2</v>
      </c>
      <c r="O174" s="72">
        <f>N174*K174</f>
        <v>53.508000000000003</v>
      </c>
      <c r="P174" s="79">
        <v>0</v>
      </c>
      <c r="Q174" s="72">
        <f>P174*K174</f>
        <v>0</v>
      </c>
      <c r="R174" s="106"/>
      <c r="T174" s="150"/>
    </row>
    <row r="175" spans="2:20" s="1" customFormat="1" ht="13.5" customHeight="1" x14ac:dyDescent="0.25">
      <c r="B175" s="68"/>
      <c r="C175" s="131"/>
      <c r="D175" s="131"/>
      <c r="E175" s="195" t="s">
        <v>122</v>
      </c>
      <c r="F175" s="339"/>
      <c r="G175" s="339"/>
      <c r="H175" s="339"/>
      <c r="I175" s="339"/>
      <c r="J175" s="339"/>
      <c r="K175" s="137">
        <v>239</v>
      </c>
      <c r="L175" s="69"/>
      <c r="M175" s="70"/>
      <c r="N175" s="67"/>
      <c r="O175" s="71"/>
      <c r="P175" s="67"/>
      <c r="Q175" s="71"/>
      <c r="R175" s="21"/>
      <c r="T175" s="69"/>
    </row>
    <row r="176" spans="2:20" s="1" customFormat="1" ht="13.5" customHeight="1" x14ac:dyDescent="0.25">
      <c r="B176" s="68"/>
      <c r="C176" s="131"/>
      <c r="D176" s="131"/>
      <c r="E176" s="195" t="s">
        <v>175</v>
      </c>
      <c r="F176" s="198"/>
      <c r="G176" s="198"/>
      <c r="H176" s="198"/>
      <c r="I176" s="198"/>
      <c r="J176" s="198"/>
      <c r="K176" s="137">
        <v>29</v>
      </c>
      <c r="L176" s="69"/>
      <c r="M176" s="70"/>
      <c r="N176" s="67"/>
      <c r="O176" s="71"/>
      <c r="P176" s="67"/>
      <c r="Q176" s="71"/>
      <c r="R176" s="21"/>
      <c r="T176" s="69"/>
    </row>
    <row r="177" spans="2:20" s="1" customFormat="1" ht="13.5" customHeight="1" x14ac:dyDescent="0.25">
      <c r="B177" s="68"/>
      <c r="C177" s="131"/>
      <c r="D177" s="131"/>
      <c r="E177" s="195" t="s">
        <v>157</v>
      </c>
      <c r="F177" s="198" t="s">
        <v>160</v>
      </c>
      <c r="G177" s="198"/>
      <c r="H177" s="198"/>
      <c r="I177" s="198"/>
      <c r="J177" s="198"/>
      <c r="K177" s="137">
        <f>ROUNDUP((87+125)*0.1,0)</f>
        <v>22</v>
      </c>
      <c r="L177" s="69"/>
      <c r="M177" s="70"/>
      <c r="N177" s="67"/>
      <c r="O177" s="71"/>
      <c r="P177" s="67"/>
      <c r="Q177" s="71"/>
      <c r="R177" s="21"/>
      <c r="T177" s="69"/>
    </row>
    <row r="178" spans="2:20" s="1" customFormat="1" ht="13.5" customHeight="1" x14ac:dyDescent="0.25">
      <c r="B178" s="68"/>
      <c r="C178" s="131"/>
      <c r="D178" s="131"/>
      <c r="E178" s="199" t="s">
        <v>123</v>
      </c>
      <c r="F178" s="224"/>
      <c r="G178" s="198"/>
      <c r="H178" s="198"/>
      <c r="I178" s="198"/>
      <c r="J178" s="198"/>
      <c r="K178" s="137">
        <v>263</v>
      </c>
      <c r="L178" s="69"/>
      <c r="M178" s="70"/>
      <c r="N178" s="67"/>
      <c r="O178" s="71"/>
      <c r="P178" s="67"/>
      <c r="Q178" s="71"/>
      <c r="R178" s="21"/>
      <c r="T178" s="69"/>
    </row>
    <row r="179" spans="2:20" s="1" customFormat="1" ht="13.5" customHeight="1" x14ac:dyDescent="0.25">
      <c r="B179" s="68"/>
      <c r="C179" s="131"/>
      <c r="D179" s="131"/>
      <c r="E179" s="195" t="s">
        <v>176</v>
      </c>
      <c r="F179" s="198"/>
      <c r="G179" s="198"/>
      <c r="H179" s="198"/>
      <c r="I179" s="198"/>
      <c r="J179" s="198"/>
      <c r="K179" s="137">
        <v>74</v>
      </c>
      <c r="L179" s="69"/>
      <c r="M179" s="70"/>
      <c r="N179" s="67"/>
      <c r="O179" s="71"/>
      <c r="P179" s="67"/>
      <c r="Q179" s="71"/>
      <c r="R179" s="21"/>
      <c r="T179" s="69"/>
    </row>
    <row r="180" spans="2:20" s="1" customFormat="1" ht="13.5" customHeight="1" x14ac:dyDescent="0.25">
      <c r="B180" s="68"/>
      <c r="C180" s="131"/>
      <c r="D180" s="131"/>
      <c r="E180" s="160" t="s">
        <v>162</v>
      </c>
      <c r="F180" s="197" t="s">
        <v>188</v>
      </c>
      <c r="G180" s="158"/>
      <c r="H180" s="158"/>
      <c r="I180" s="158"/>
      <c r="J180" s="158"/>
      <c r="K180" s="162">
        <f>ROUNDUP((11+58+69+85)*0.1,0)</f>
        <v>23</v>
      </c>
      <c r="L180" s="69"/>
      <c r="M180" s="70"/>
      <c r="N180" s="67"/>
      <c r="O180" s="71"/>
      <c r="P180" s="67"/>
      <c r="Q180" s="71"/>
      <c r="R180" s="21"/>
      <c r="T180" s="69"/>
    </row>
    <row r="181" spans="2:20" s="1" customFormat="1" x14ac:dyDescent="0.25">
      <c r="B181" s="68"/>
      <c r="C181" s="131"/>
      <c r="D181" s="131"/>
      <c r="E181" s="159"/>
      <c r="F181" s="125"/>
      <c r="G181" s="126"/>
      <c r="H181" s="126"/>
      <c r="I181" s="126"/>
      <c r="J181" s="127"/>
      <c r="K181" s="128">
        <f>SUM(K175:K180)</f>
        <v>650</v>
      </c>
      <c r="L181" s="69"/>
      <c r="M181" s="70"/>
      <c r="N181" s="67"/>
      <c r="O181" s="71"/>
      <c r="P181" s="67"/>
      <c r="Q181" s="71"/>
      <c r="R181" s="21"/>
      <c r="T181" s="69"/>
    </row>
    <row r="182" spans="2:20" s="1" customFormat="1" x14ac:dyDescent="0.25">
      <c r="B182" s="20"/>
      <c r="C182" s="253">
        <v>17</v>
      </c>
      <c r="D182" s="253" t="s">
        <v>72</v>
      </c>
      <c r="E182" s="259"/>
      <c r="F182" s="342" t="s">
        <v>167</v>
      </c>
      <c r="G182" s="342"/>
      <c r="H182" s="342"/>
      <c r="I182" s="342"/>
      <c r="J182" s="240" t="s">
        <v>113</v>
      </c>
      <c r="K182" s="241">
        <f>ROUNDUP(K174*2*1.025,0)</f>
        <v>1333</v>
      </c>
      <c r="L182" s="242">
        <v>0</v>
      </c>
      <c r="M182" s="243">
        <f>ROUND(L182*K182,2)</f>
        <v>0</v>
      </c>
      <c r="N182" s="244">
        <v>2.1999999999999999E-2</v>
      </c>
      <c r="O182" s="241">
        <f>N182*K182</f>
        <v>29.325999999999997</v>
      </c>
      <c r="P182" s="244">
        <v>0</v>
      </c>
      <c r="Q182" s="241">
        <f>P182*K182</f>
        <v>0</v>
      </c>
      <c r="R182" s="106"/>
      <c r="T182" s="242"/>
    </row>
    <row r="183" spans="2:20" s="1" customFormat="1" ht="13.5" customHeight="1" x14ac:dyDescent="0.25">
      <c r="B183" s="68"/>
      <c r="C183" s="131"/>
      <c r="D183" s="131"/>
      <c r="E183" s="225"/>
      <c r="F183" s="326" t="s">
        <v>174</v>
      </c>
      <c r="G183" s="326"/>
      <c r="H183" s="326"/>
      <c r="I183" s="326"/>
      <c r="J183" s="326"/>
      <c r="K183" s="161"/>
      <c r="L183" s="69"/>
      <c r="M183" s="70"/>
      <c r="N183" s="67"/>
      <c r="O183" s="71"/>
      <c r="P183" s="67"/>
      <c r="Q183" s="71"/>
      <c r="R183" s="21"/>
      <c r="T183" s="69"/>
    </row>
    <row r="184" spans="2:20" s="1" customFormat="1" ht="29.25" customHeight="1" x14ac:dyDescent="0.25">
      <c r="B184" s="20"/>
      <c r="C184" s="166">
        <v>18</v>
      </c>
      <c r="D184" s="166" t="s">
        <v>72</v>
      </c>
      <c r="E184" s="167" t="s">
        <v>110</v>
      </c>
      <c r="F184" s="324" t="s">
        <v>146</v>
      </c>
      <c r="G184" s="324"/>
      <c r="H184" s="324"/>
      <c r="I184" s="324"/>
      <c r="J184" s="124" t="s">
        <v>73</v>
      </c>
      <c r="K184" s="72">
        <f>K188</f>
        <v>104</v>
      </c>
      <c r="L184" s="150">
        <f>T184*$T$112</f>
        <v>0</v>
      </c>
      <c r="M184" s="112">
        <f>ROUND(L184*K184,2)</f>
        <v>0</v>
      </c>
      <c r="N184" s="79">
        <v>1.08E-3</v>
      </c>
      <c r="O184" s="72">
        <f>N184*K184</f>
        <v>0.11232</v>
      </c>
      <c r="P184" s="79">
        <v>0</v>
      </c>
      <c r="Q184" s="72">
        <f>P184*K184</f>
        <v>0</v>
      </c>
      <c r="R184" s="106"/>
      <c r="T184" s="150"/>
    </row>
    <row r="185" spans="2:20" s="1" customFormat="1" x14ac:dyDescent="0.25">
      <c r="B185" s="20"/>
      <c r="C185" s="157"/>
      <c r="D185" s="157"/>
      <c r="E185" s="278" t="s">
        <v>250</v>
      </c>
      <c r="F185" s="279">
        <v>20</v>
      </c>
      <c r="G185" s="262"/>
      <c r="H185" s="262"/>
      <c r="I185" s="262"/>
      <c r="J185" s="262"/>
      <c r="K185" s="161">
        <v>20</v>
      </c>
      <c r="L185" s="205"/>
      <c r="M185" s="87"/>
      <c r="N185" s="156"/>
      <c r="O185" s="115"/>
      <c r="P185" s="156"/>
      <c r="Q185" s="115"/>
      <c r="R185" s="21"/>
      <c r="T185" s="285"/>
    </row>
    <row r="186" spans="2:20" s="1" customFormat="1" x14ac:dyDescent="0.25">
      <c r="B186" s="20"/>
      <c r="C186" s="157"/>
      <c r="D186" s="157"/>
      <c r="E186" s="199" t="s">
        <v>251</v>
      </c>
      <c r="F186" s="277">
        <v>24</v>
      </c>
      <c r="G186" s="277"/>
      <c r="H186" s="277"/>
      <c r="I186" s="277"/>
      <c r="J186" s="7"/>
      <c r="K186" s="137">
        <v>24</v>
      </c>
      <c r="L186" s="205"/>
      <c r="M186" s="87"/>
      <c r="N186" s="156"/>
      <c r="O186" s="115"/>
      <c r="P186" s="156"/>
      <c r="Q186" s="115"/>
      <c r="R186" s="21"/>
      <c r="T186" s="285"/>
    </row>
    <row r="187" spans="2:20" s="1" customFormat="1" ht="13.5" customHeight="1" x14ac:dyDescent="0.25">
      <c r="B187" s="20"/>
      <c r="C187" s="157"/>
      <c r="D187" s="157"/>
      <c r="E187" s="160" t="s">
        <v>123</v>
      </c>
      <c r="F187" s="280" t="s">
        <v>147</v>
      </c>
      <c r="G187" s="261"/>
      <c r="H187" s="261"/>
      <c r="I187" s="261"/>
      <c r="J187" s="261"/>
      <c r="K187" s="162">
        <f>3*12/2+3*12/2+3*16/2</f>
        <v>60</v>
      </c>
      <c r="L187" s="87"/>
      <c r="M187" s="87"/>
      <c r="N187" s="156"/>
      <c r="O187" s="115"/>
      <c r="P187" s="156"/>
      <c r="Q187" s="115"/>
      <c r="R187" s="21"/>
      <c r="T187" s="286"/>
    </row>
    <row r="188" spans="2:20" s="1" customFormat="1" x14ac:dyDescent="0.25">
      <c r="B188" s="68"/>
      <c r="C188" s="131"/>
      <c r="D188" s="131"/>
      <c r="E188" s="159"/>
      <c r="F188" s="125"/>
      <c r="G188" s="126"/>
      <c r="H188" s="126"/>
      <c r="I188" s="126"/>
      <c r="J188" s="127"/>
      <c r="K188" s="128">
        <f>SUM(K185:K187)</f>
        <v>104</v>
      </c>
      <c r="L188" s="69"/>
      <c r="M188" s="70"/>
      <c r="N188" s="67"/>
      <c r="O188" s="71"/>
      <c r="P188" s="67"/>
      <c r="Q188" s="71"/>
      <c r="R188" s="21"/>
      <c r="T188" s="69"/>
    </row>
    <row r="189" spans="2:20" s="99" customFormat="1" ht="15" x14ac:dyDescent="0.3">
      <c r="B189" s="98"/>
      <c r="D189" s="84" t="s">
        <v>63</v>
      </c>
      <c r="E189" s="84"/>
      <c r="F189" s="84"/>
      <c r="G189" s="84"/>
      <c r="H189" s="84"/>
      <c r="I189" s="84"/>
      <c r="J189" s="84"/>
      <c r="K189" s="84"/>
      <c r="L189" s="84"/>
      <c r="M189" s="111">
        <f>SUM(M190:M215)</f>
        <v>0</v>
      </c>
      <c r="O189" s="100">
        <f>SUM(O190:O215)</f>
        <v>39.570899999999995</v>
      </c>
      <c r="Q189" s="100">
        <f>SUM(Q190:Q215)</f>
        <v>0</v>
      </c>
      <c r="R189" s="105"/>
      <c r="T189" s="84"/>
    </row>
    <row r="190" spans="2:20" s="1" customFormat="1" ht="28.5" customHeight="1" x14ac:dyDescent="0.25">
      <c r="B190" s="20"/>
      <c r="C190" s="168">
        <v>19</v>
      </c>
      <c r="D190" s="168" t="s">
        <v>72</v>
      </c>
      <c r="E190" s="169" t="s">
        <v>124</v>
      </c>
      <c r="F190" s="335" t="s">
        <v>87</v>
      </c>
      <c r="G190" s="336"/>
      <c r="H190" s="336"/>
      <c r="I190" s="336"/>
      <c r="J190" s="129" t="s">
        <v>74</v>
      </c>
      <c r="K190" s="73">
        <f>K195</f>
        <v>170.6</v>
      </c>
      <c r="L190" s="151">
        <f t="shared" ref="L190:L192" si="2">T190*$T$112</f>
        <v>0</v>
      </c>
      <c r="M190" s="113">
        <f>ROUND(L190*K190,2)</f>
        <v>0</v>
      </c>
      <c r="N190" s="80">
        <v>0</v>
      </c>
      <c r="O190" s="73">
        <f>N190*K190</f>
        <v>0</v>
      </c>
      <c r="P190" s="80">
        <v>0</v>
      </c>
      <c r="Q190" s="73">
        <f>P190*K190</f>
        <v>0</v>
      </c>
      <c r="R190" s="106"/>
      <c r="T190" s="151"/>
    </row>
    <row r="191" spans="2:20" s="1" customFormat="1" x14ac:dyDescent="0.25">
      <c r="B191" s="20"/>
      <c r="C191" s="172">
        <v>20</v>
      </c>
      <c r="D191" s="172" t="s">
        <v>72</v>
      </c>
      <c r="E191" s="173" t="s">
        <v>88</v>
      </c>
      <c r="F191" s="337" t="s">
        <v>89</v>
      </c>
      <c r="G191" s="338"/>
      <c r="H191" s="338"/>
      <c r="I191" s="338"/>
      <c r="J191" s="132" t="s">
        <v>74</v>
      </c>
      <c r="K191" s="74">
        <f>K195</f>
        <v>170.6</v>
      </c>
      <c r="L191" s="152">
        <f t="shared" si="2"/>
        <v>0</v>
      </c>
      <c r="M191" s="103">
        <f>ROUND(L191*K191,2)</f>
        <v>0</v>
      </c>
      <c r="N191" s="81">
        <v>0</v>
      </c>
      <c r="O191" s="74">
        <f>N191*K191</f>
        <v>0</v>
      </c>
      <c r="P191" s="81">
        <v>0</v>
      </c>
      <c r="Q191" s="74">
        <f>P191*K191</f>
        <v>0</v>
      </c>
      <c r="R191" s="106"/>
      <c r="T191" s="152"/>
    </row>
    <row r="192" spans="2:20" s="1" customFormat="1" x14ac:dyDescent="0.25">
      <c r="B192" s="20"/>
      <c r="C192" s="170">
        <v>21</v>
      </c>
      <c r="D192" s="170" t="s">
        <v>72</v>
      </c>
      <c r="E192" s="171" t="s">
        <v>96</v>
      </c>
      <c r="F192" s="327" t="s">
        <v>97</v>
      </c>
      <c r="G192" s="328"/>
      <c r="H192" s="328"/>
      <c r="I192" s="328"/>
      <c r="J192" s="130" t="s">
        <v>74</v>
      </c>
      <c r="K192" s="75">
        <f>K195</f>
        <v>170.6</v>
      </c>
      <c r="L192" s="153">
        <f t="shared" si="2"/>
        <v>0</v>
      </c>
      <c r="M192" s="114">
        <f>ROUND(L192*K192,2)</f>
        <v>0</v>
      </c>
      <c r="N192" s="82">
        <v>1E-4</v>
      </c>
      <c r="O192" s="75">
        <f>N192*K192</f>
        <v>1.7059999999999999E-2</v>
      </c>
      <c r="P192" s="82">
        <v>0</v>
      </c>
      <c r="Q192" s="75">
        <f>P192*K192</f>
        <v>0</v>
      </c>
      <c r="R192" s="106"/>
      <c r="T192" s="153"/>
    </row>
    <row r="193" spans="2:20" s="1" customFormat="1" x14ac:dyDescent="0.25">
      <c r="B193" s="68"/>
      <c r="C193" s="131"/>
      <c r="D193" s="131"/>
      <c r="E193" s="195" t="s">
        <v>122</v>
      </c>
      <c r="F193" s="339" t="s">
        <v>166</v>
      </c>
      <c r="G193" s="339"/>
      <c r="H193" s="339"/>
      <c r="I193" s="339"/>
      <c r="J193" s="339"/>
      <c r="K193" s="137">
        <f>6.1+98+5.5</f>
        <v>109.6</v>
      </c>
      <c r="L193" s="69"/>
      <c r="M193" s="70"/>
      <c r="N193" s="67"/>
      <c r="O193" s="71"/>
      <c r="P193" s="67"/>
      <c r="Q193" s="71"/>
      <c r="R193" s="21"/>
      <c r="T193" s="69"/>
    </row>
    <row r="194" spans="2:20" s="1" customFormat="1" x14ac:dyDescent="0.25">
      <c r="B194" s="68"/>
      <c r="C194" s="131"/>
      <c r="D194" s="131"/>
      <c r="E194" s="160" t="s">
        <v>123</v>
      </c>
      <c r="F194" s="197" t="s">
        <v>190</v>
      </c>
      <c r="G194" s="158"/>
      <c r="H194" s="158"/>
      <c r="I194" s="158"/>
      <c r="J194" s="158"/>
      <c r="K194" s="162">
        <f>5.5+4.5+5.9+7.1+38</f>
        <v>61</v>
      </c>
      <c r="L194" s="69"/>
      <c r="M194" s="70"/>
      <c r="N194" s="67"/>
      <c r="O194" s="71"/>
      <c r="P194" s="67"/>
      <c r="Q194" s="71"/>
      <c r="R194" s="21"/>
      <c r="T194" s="69"/>
    </row>
    <row r="195" spans="2:20" s="1" customFormat="1" x14ac:dyDescent="0.25">
      <c r="B195" s="68"/>
      <c r="C195" s="131"/>
      <c r="D195" s="131"/>
      <c r="E195" s="159"/>
      <c r="F195" s="125"/>
      <c r="G195" s="126"/>
      <c r="H195" s="126"/>
      <c r="I195" s="126"/>
      <c r="J195" s="127"/>
      <c r="K195" s="128">
        <f>SUM(K193:K194)</f>
        <v>170.6</v>
      </c>
      <c r="L195" s="69"/>
      <c r="M195" s="70"/>
      <c r="N195" s="67"/>
      <c r="O195" s="71"/>
      <c r="P195" s="67"/>
      <c r="Q195" s="71"/>
      <c r="R195" s="21"/>
      <c r="T195" s="69"/>
    </row>
    <row r="196" spans="2:20" s="1" customFormat="1" ht="27" customHeight="1" x14ac:dyDescent="0.25">
      <c r="B196" s="20"/>
      <c r="C196" s="166">
        <v>22</v>
      </c>
      <c r="D196" s="166" t="s">
        <v>72</v>
      </c>
      <c r="E196" s="167" t="s">
        <v>142</v>
      </c>
      <c r="F196" s="324" t="s">
        <v>145</v>
      </c>
      <c r="G196" s="325"/>
      <c r="H196" s="325"/>
      <c r="I196" s="325"/>
      <c r="J196" s="124" t="s">
        <v>75</v>
      </c>
      <c r="K196" s="72">
        <f>K199</f>
        <v>16</v>
      </c>
      <c r="L196" s="150">
        <f>T196*$T$112</f>
        <v>0</v>
      </c>
      <c r="M196" s="112">
        <f t="shared" ref="M196:M200" si="3">ROUND(L196*K196,2)</f>
        <v>0</v>
      </c>
      <c r="N196" s="79">
        <v>0.32973999999999998</v>
      </c>
      <c r="O196" s="72">
        <f t="shared" ref="O196:O200" si="4">N196*K196</f>
        <v>5.2758399999999996</v>
      </c>
      <c r="P196" s="79">
        <v>0</v>
      </c>
      <c r="Q196" s="72">
        <f t="shared" ref="Q196:Q200" si="5">P196*K196</f>
        <v>0</v>
      </c>
      <c r="R196" s="106"/>
      <c r="T196" s="150"/>
    </row>
    <row r="197" spans="2:20" s="1" customFormat="1" x14ac:dyDescent="0.25">
      <c r="B197" s="68"/>
      <c r="C197" s="131"/>
      <c r="D197" s="131"/>
      <c r="E197" s="195" t="s">
        <v>122</v>
      </c>
      <c r="F197" s="339"/>
      <c r="G197" s="339"/>
      <c r="H197" s="339"/>
      <c r="I197" s="339"/>
      <c r="J197" s="339"/>
      <c r="K197" s="137">
        <v>7</v>
      </c>
      <c r="L197" s="69"/>
      <c r="M197" s="70"/>
      <c r="N197" s="67"/>
      <c r="O197" s="71"/>
      <c r="P197" s="67"/>
      <c r="Q197" s="71"/>
      <c r="R197" s="21"/>
      <c r="T197" s="69"/>
    </row>
    <row r="198" spans="2:20" s="1" customFormat="1" x14ac:dyDescent="0.25">
      <c r="B198" s="68"/>
      <c r="C198" s="131"/>
      <c r="D198" s="131"/>
      <c r="E198" s="160" t="s">
        <v>123</v>
      </c>
      <c r="F198" s="197"/>
      <c r="G198" s="158"/>
      <c r="H198" s="158"/>
      <c r="I198" s="158"/>
      <c r="J198" s="158"/>
      <c r="K198" s="162">
        <v>9</v>
      </c>
      <c r="L198" s="69"/>
      <c r="M198" s="70"/>
      <c r="N198" s="67"/>
      <c r="O198" s="71"/>
      <c r="P198" s="67"/>
      <c r="Q198" s="71"/>
      <c r="R198" s="21"/>
      <c r="T198" s="69"/>
    </row>
    <row r="199" spans="2:20" s="1" customFormat="1" x14ac:dyDescent="0.25">
      <c r="B199" s="68"/>
      <c r="C199" s="131"/>
      <c r="D199" s="131"/>
      <c r="E199" s="159"/>
      <c r="F199" s="125"/>
      <c r="G199" s="126"/>
      <c r="H199" s="126"/>
      <c r="I199" s="126"/>
      <c r="J199" s="127"/>
      <c r="K199" s="128">
        <f>SUM(K197:K198)</f>
        <v>16</v>
      </c>
      <c r="L199" s="69"/>
      <c r="M199" s="70"/>
      <c r="N199" s="67"/>
      <c r="O199" s="71"/>
      <c r="P199" s="67"/>
      <c r="Q199" s="71"/>
      <c r="R199" s="21"/>
      <c r="T199" s="69"/>
    </row>
    <row r="200" spans="2:20" s="1" customFormat="1" ht="27" customHeight="1" x14ac:dyDescent="0.25">
      <c r="B200" s="20"/>
      <c r="C200" s="166">
        <v>23</v>
      </c>
      <c r="D200" s="166" t="s">
        <v>72</v>
      </c>
      <c r="E200" s="167" t="s">
        <v>143</v>
      </c>
      <c r="F200" s="324" t="s">
        <v>144</v>
      </c>
      <c r="G200" s="325"/>
      <c r="H200" s="325"/>
      <c r="I200" s="325"/>
      <c r="J200" s="124" t="s">
        <v>75</v>
      </c>
      <c r="K200" s="72">
        <f>K203</f>
        <v>8</v>
      </c>
      <c r="L200" s="150">
        <f>T200*$T$112</f>
        <v>0</v>
      </c>
      <c r="M200" s="112">
        <f t="shared" si="3"/>
        <v>0</v>
      </c>
      <c r="N200" s="79">
        <v>0.31590000000000001</v>
      </c>
      <c r="O200" s="72">
        <f t="shared" si="4"/>
        <v>2.5272000000000001</v>
      </c>
      <c r="P200" s="79">
        <v>0</v>
      </c>
      <c r="Q200" s="72">
        <f t="shared" si="5"/>
        <v>0</v>
      </c>
      <c r="R200" s="106"/>
      <c r="T200" s="150"/>
    </row>
    <row r="201" spans="2:20" s="1" customFormat="1" x14ac:dyDescent="0.25">
      <c r="B201" s="68"/>
      <c r="C201" s="131"/>
      <c r="D201" s="131"/>
      <c r="E201" s="195" t="s">
        <v>122</v>
      </c>
      <c r="F201" s="339"/>
      <c r="G201" s="339"/>
      <c r="H201" s="339"/>
      <c r="I201" s="339"/>
      <c r="J201" s="339"/>
      <c r="K201" s="137"/>
      <c r="L201" s="69"/>
      <c r="M201" s="70"/>
      <c r="N201" s="67"/>
      <c r="O201" s="71"/>
      <c r="P201" s="67"/>
      <c r="Q201" s="71"/>
      <c r="R201" s="21"/>
      <c r="T201" s="69"/>
    </row>
    <row r="202" spans="2:20" s="1" customFormat="1" x14ac:dyDescent="0.25">
      <c r="B202" s="68"/>
      <c r="C202" s="131"/>
      <c r="D202" s="131"/>
      <c r="E202" s="160" t="s">
        <v>123</v>
      </c>
      <c r="F202" s="197"/>
      <c r="G202" s="158"/>
      <c r="H202" s="158"/>
      <c r="I202" s="158"/>
      <c r="J202" s="158"/>
      <c r="K202" s="162">
        <v>8</v>
      </c>
      <c r="L202" s="69"/>
      <c r="M202" s="70"/>
      <c r="N202" s="67"/>
      <c r="O202" s="71"/>
      <c r="P202" s="67"/>
      <c r="Q202" s="71"/>
      <c r="R202" s="21"/>
      <c r="T202" s="69"/>
    </row>
    <row r="203" spans="2:20" s="1" customFormat="1" x14ac:dyDescent="0.25">
      <c r="B203" s="68"/>
      <c r="C203" s="131"/>
      <c r="D203" s="131"/>
      <c r="E203" s="159"/>
      <c r="F203" s="125"/>
      <c r="G203" s="126"/>
      <c r="H203" s="126"/>
      <c r="I203" s="126"/>
      <c r="J203" s="127"/>
      <c r="K203" s="128">
        <f>SUM(K201:K202)</f>
        <v>8</v>
      </c>
      <c r="L203" s="69"/>
      <c r="M203" s="70"/>
      <c r="N203" s="67"/>
      <c r="O203" s="71"/>
      <c r="P203" s="67"/>
      <c r="Q203" s="71"/>
      <c r="R203" s="21"/>
      <c r="T203" s="69"/>
    </row>
    <row r="204" spans="2:20" s="1" customFormat="1" ht="27" customHeight="1" x14ac:dyDescent="0.25">
      <c r="B204" s="20"/>
      <c r="C204" s="166">
        <v>24</v>
      </c>
      <c r="D204" s="166" t="s">
        <v>72</v>
      </c>
      <c r="E204" s="167" t="s">
        <v>141</v>
      </c>
      <c r="F204" s="324" t="s">
        <v>140</v>
      </c>
      <c r="G204" s="325"/>
      <c r="H204" s="325"/>
      <c r="I204" s="325"/>
      <c r="J204" s="124" t="s">
        <v>75</v>
      </c>
      <c r="K204" s="72">
        <f>K207</f>
        <v>15</v>
      </c>
      <c r="L204" s="150">
        <f>T204*$T$112</f>
        <v>0</v>
      </c>
      <c r="M204" s="112">
        <f t="shared" ref="M204" si="6">ROUND(L204*K204,2)</f>
        <v>0</v>
      </c>
      <c r="N204" s="79">
        <v>0.32272000000000001</v>
      </c>
      <c r="O204" s="72">
        <f t="shared" ref="O204" si="7">N204*K204</f>
        <v>4.8407999999999998</v>
      </c>
      <c r="P204" s="79">
        <v>0</v>
      </c>
      <c r="Q204" s="72">
        <f t="shared" ref="Q204" si="8">P204*K204</f>
        <v>0</v>
      </c>
      <c r="R204" s="106"/>
      <c r="T204" s="150"/>
    </row>
    <row r="205" spans="2:20" s="1" customFormat="1" x14ac:dyDescent="0.25">
      <c r="B205" s="68"/>
      <c r="C205" s="131"/>
      <c r="D205" s="131"/>
      <c r="E205" s="195" t="s">
        <v>122</v>
      </c>
      <c r="F205" s="339"/>
      <c r="G205" s="339"/>
      <c r="H205" s="339"/>
      <c r="I205" s="339"/>
      <c r="J205" s="339"/>
      <c r="K205" s="137">
        <v>7</v>
      </c>
      <c r="L205" s="69"/>
      <c r="M205" s="70"/>
      <c r="N205" s="67"/>
      <c r="O205" s="71"/>
      <c r="P205" s="67"/>
      <c r="Q205" s="71"/>
      <c r="R205" s="21"/>
      <c r="T205" s="69"/>
    </row>
    <row r="206" spans="2:20" s="1" customFormat="1" x14ac:dyDescent="0.25">
      <c r="B206" s="68"/>
      <c r="C206" s="131"/>
      <c r="D206" s="131"/>
      <c r="E206" s="160" t="s">
        <v>123</v>
      </c>
      <c r="F206" s="197"/>
      <c r="G206" s="158"/>
      <c r="H206" s="158"/>
      <c r="I206" s="158"/>
      <c r="J206" s="158"/>
      <c r="K206" s="162">
        <v>8</v>
      </c>
      <c r="L206" s="69"/>
      <c r="M206" s="70"/>
      <c r="N206" s="67"/>
      <c r="O206" s="71"/>
      <c r="P206" s="67"/>
      <c r="Q206" s="71"/>
      <c r="R206" s="21"/>
      <c r="T206" s="69"/>
    </row>
    <row r="207" spans="2:20" s="1" customFormat="1" x14ac:dyDescent="0.25">
      <c r="B207" s="68"/>
      <c r="C207" s="131"/>
      <c r="D207" s="131"/>
      <c r="E207" s="159"/>
      <c r="F207" s="125"/>
      <c r="G207" s="126"/>
      <c r="H207" s="126"/>
      <c r="I207" s="126"/>
      <c r="J207" s="127"/>
      <c r="K207" s="128">
        <f>SUM(K205:K206)</f>
        <v>15</v>
      </c>
      <c r="L207" s="69"/>
      <c r="M207" s="70"/>
      <c r="N207" s="67"/>
      <c r="O207" s="71"/>
      <c r="P207" s="67"/>
      <c r="Q207" s="71"/>
      <c r="R207" s="21"/>
      <c r="T207" s="69"/>
    </row>
    <row r="208" spans="2:20" s="1" customFormat="1" ht="27" customHeight="1" x14ac:dyDescent="0.25">
      <c r="B208" s="20"/>
      <c r="C208" s="166">
        <v>25</v>
      </c>
      <c r="D208" s="166" t="s">
        <v>72</v>
      </c>
      <c r="E208" s="167" t="s">
        <v>108</v>
      </c>
      <c r="F208" s="324" t="s">
        <v>186</v>
      </c>
      <c r="G208" s="324"/>
      <c r="H208" s="324"/>
      <c r="I208" s="324"/>
      <c r="J208" s="124" t="s">
        <v>75</v>
      </c>
      <c r="K208" s="72">
        <f>K211</f>
        <v>39</v>
      </c>
      <c r="L208" s="150">
        <f>T208*$T$112</f>
        <v>0</v>
      </c>
      <c r="M208" s="112">
        <f>ROUND(L208*K208,2)</f>
        <v>0</v>
      </c>
      <c r="N208" s="79">
        <f>0.345*2</f>
        <v>0.69</v>
      </c>
      <c r="O208" s="72">
        <f>N208*K208</f>
        <v>26.909999999999997</v>
      </c>
      <c r="P208" s="79">
        <v>0</v>
      </c>
      <c r="Q208" s="72">
        <f>P208*K208</f>
        <v>0</v>
      </c>
      <c r="R208" s="106"/>
      <c r="T208" s="150"/>
    </row>
    <row r="209" spans="2:20" s="1" customFormat="1" x14ac:dyDescent="0.25">
      <c r="B209" s="68"/>
      <c r="C209" s="131"/>
      <c r="D209" s="131"/>
      <c r="E209" s="195" t="s">
        <v>122</v>
      </c>
      <c r="F209" s="339"/>
      <c r="G209" s="339"/>
      <c r="H209" s="339"/>
      <c r="I209" s="339"/>
      <c r="J209" s="339"/>
      <c r="K209" s="137">
        <f>K201+K197+K205</f>
        <v>14</v>
      </c>
      <c r="L209" s="69"/>
      <c r="M209" s="70"/>
      <c r="N209" s="67"/>
      <c r="O209" s="71"/>
      <c r="P209" s="67"/>
      <c r="Q209" s="71"/>
      <c r="R209" s="21"/>
      <c r="T209" s="69"/>
    </row>
    <row r="210" spans="2:20" s="1" customFormat="1" x14ac:dyDescent="0.25">
      <c r="B210" s="68"/>
      <c r="C210" s="131"/>
      <c r="D210" s="131"/>
      <c r="E210" s="160" t="s">
        <v>123</v>
      </c>
      <c r="F210" s="197"/>
      <c r="G210" s="158"/>
      <c r="H210" s="158"/>
      <c r="I210" s="158"/>
      <c r="J210" s="158"/>
      <c r="K210" s="162">
        <f>K202+K198+K206</f>
        <v>25</v>
      </c>
      <c r="L210" s="69"/>
      <c r="M210" s="70"/>
      <c r="N210" s="67"/>
      <c r="O210" s="71"/>
      <c r="P210" s="67"/>
      <c r="Q210" s="71"/>
      <c r="R210" s="21"/>
      <c r="T210" s="69"/>
    </row>
    <row r="211" spans="2:20" s="1" customFormat="1" x14ac:dyDescent="0.25">
      <c r="B211" s="68"/>
      <c r="C211" s="131"/>
      <c r="D211" s="131"/>
      <c r="E211" s="159"/>
      <c r="F211" s="125"/>
      <c r="G211" s="126"/>
      <c r="H211" s="126"/>
      <c r="I211" s="126"/>
      <c r="J211" s="127"/>
      <c r="K211" s="128">
        <f>SUM(K209:K210)</f>
        <v>39</v>
      </c>
      <c r="L211" s="69"/>
      <c r="M211" s="70"/>
      <c r="N211" s="67"/>
      <c r="O211" s="71"/>
      <c r="P211" s="67"/>
      <c r="Q211" s="71"/>
      <c r="R211" s="21"/>
      <c r="T211" s="69"/>
    </row>
    <row r="212" spans="2:20" s="1" customFormat="1" ht="27" customHeight="1" x14ac:dyDescent="0.25">
      <c r="B212" s="20"/>
      <c r="C212" s="166">
        <v>26</v>
      </c>
      <c r="D212" s="166" t="s">
        <v>72</v>
      </c>
      <c r="E212" s="167" t="s">
        <v>125</v>
      </c>
      <c r="F212" s="324" t="s">
        <v>139</v>
      </c>
      <c r="G212" s="324"/>
      <c r="H212" s="324"/>
      <c r="I212" s="324"/>
      <c r="J212" s="124" t="s">
        <v>75</v>
      </c>
      <c r="K212" s="72">
        <f>K215</f>
        <v>26</v>
      </c>
      <c r="L212" s="150">
        <f>T212*$T$112</f>
        <v>0</v>
      </c>
      <c r="M212" s="112">
        <f>ROUND(L212*K212,2)</f>
        <v>0</v>
      </c>
      <c r="N212" s="79">
        <v>0</v>
      </c>
      <c r="O212" s="72">
        <f>N212*K212</f>
        <v>0</v>
      </c>
      <c r="P212" s="79">
        <v>0</v>
      </c>
      <c r="Q212" s="72">
        <f>P212*K212</f>
        <v>0</v>
      </c>
      <c r="R212" s="106"/>
      <c r="T212" s="150"/>
    </row>
    <row r="213" spans="2:20" s="1" customFormat="1" ht="13.5" customHeight="1" x14ac:dyDescent="0.25">
      <c r="B213" s="68"/>
      <c r="C213" s="131"/>
      <c r="D213" s="131"/>
      <c r="E213" s="195" t="s">
        <v>122</v>
      </c>
      <c r="F213" s="326"/>
      <c r="G213" s="326"/>
      <c r="H213" s="326"/>
      <c r="I213" s="326"/>
      <c r="J213" s="326"/>
      <c r="K213" s="137">
        <f>K117</f>
        <v>15</v>
      </c>
      <c r="L213" s="69"/>
      <c r="M213" s="70"/>
      <c r="N213" s="67"/>
      <c r="O213" s="71"/>
      <c r="P213" s="67"/>
      <c r="Q213" s="71"/>
      <c r="R213" s="21"/>
      <c r="T213" s="69"/>
    </row>
    <row r="214" spans="2:20" s="1" customFormat="1" x14ac:dyDescent="0.25">
      <c r="B214" s="68"/>
      <c r="C214" s="131"/>
      <c r="D214" s="131"/>
      <c r="E214" s="160" t="s">
        <v>123</v>
      </c>
      <c r="F214" s="197"/>
      <c r="G214" s="158"/>
      <c r="H214" s="158"/>
      <c r="I214" s="158"/>
      <c r="J214" s="158"/>
      <c r="K214" s="162">
        <f>K118</f>
        <v>11</v>
      </c>
      <c r="L214" s="69"/>
      <c r="M214" s="70"/>
      <c r="N214" s="67"/>
      <c r="O214" s="71"/>
      <c r="P214" s="67"/>
      <c r="Q214" s="71"/>
      <c r="R214" s="21"/>
      <c r="T214" s="69"/>
    </row>
    <row r="215" spans="2:20" s="1" customFormat="1" x14ac:dyDescent="0.25">
      <c r="B215" s="68"/>
      <c r="C215" s="131"/>
      <c r="D215" s="131"/>
      <c r="E215" s="159"/>
      <c r="F215" s="125"/>
      <c r="G215" s="126"/>
      <c r="H215" s="126"/>
      <c r="I215" s="126"/>
      <c r="J215" s="127"/>
      <c r="K215" s="128">
        <f>SUM(K213:K214)</f>
        <v>26</v>
      </c>
      <c r="L215" s="69"/>
      <c r="M215" s="70"/>
      <c r="N215" s="67"/>
      <c r="O215" s="71"/>
      <c r="P215" s="67"/>
      <c r="Q215" s="71"/>
      <c r="R215" s="21"/>
      <c r="T215" s="69"/>
    </row>
    <row r="216" spans="2:20" s="99" customFormat="1" ht="15" x14ac:dyDescent="0.3">
      <c r="B216" s="98"/>
      <c r="D216" s="84" t="s">
        <v>64</v>
      </c>
      <c r="E216" s="84"/>
      <c r="F216" s="84"/>
      <c r="G216" s="84"/>
      <c r="H216" s="84"/>
      <c r="I216" s="84"/>
      <c r="J216" s="84"/>
      <c r="K216" s="84"/>
      <c r="L216" s="84"/>
      <c r="M216" s="111">
        <f>SUM(M217:M221)</f>
        <v>0</v>
      </c>
      <c r="O216" s="100">
        <f>SUM(O217:O221)</f>
        <v>0</v>
      </c>
      <c r="Q216" s="100">
        <f>SUM(Q217:Q221)</f>
        <v>0</v>
      </c>
      <c r="R216" s="105"/>
      <c r="T216" s="84"/>
    </row>
    <row r="217" spans="2:20" s="1" customFormat="1" x14ac:dyDescent="0.25">
      <c r="B217" s="20"/>
      <c r="C217" s="168">
        <v>27</v>
      </c>
      <c r="D217" s="168" t="s">
        <v>72</v>
      </c>
      <c r="E217" s="169" t="s">
        <v>102</v>
      </c>
      <c r="F217" s="335" t="s">
        <v>103</v>
      </c>
      <c r="G217" s="336"/>
      <c r="H217" s="336"/>
      <c r="I217" s="336"/>
      <c r="J217" s="129" t="s">
        <v>76</v>
      </c>
      <c r="K217" s="73">
        <f>K221+K220</f>
        <v>543.69000000000005</v>
      </c>
      <c r="L217" s="151">
        <f t="shared" ref="L217:L219" si="9">T217*$T$112</f>
        <v>0</v>
      </c>
      <c r="M217" s="113">
        <f>ROUND(L217*K217,2)</f>
        <v>0</v>
      </c>
      <c r="N217" s="80">
        <v>0</v>
      </c>
      <c r="O217" s="73">
        <v>0</v>
      </c>
      <c r="P217" s="80">
        <v>0</v>
      </c>
      <c r="Q217" s="73">
        <v>0</v>
      </c>
      <c r="R217" s="21"/>
      <c r="T217" s="151"/>
    </row>
    <row r="218" spans="2:20" s="1" customFormat="1" x14ac:dyDescent="0.25">
      <c r="B218" s="20"/>
      <c r="C218" s="172">
        <v>28</v>
      </c>
      <c r="D218" s="172" t="s">
        <v>72</v>
      </c>
      <c r="E218" s="173" t="s">
        <v>106</v>
      </c>
      <c r="F218" s="337" t="s">
        <v>107</v>
      </c>
      <c r="G218" s="338"/>
      <c r="H218" s="338"/>
      <c r="I218" s="338"/>
      <c r="J218" s="132" t="s">
        <v>76</v>
      </c>
      <c r="K218" s="74">
        <f>K217</f>
        <v>543.69000000000005</v>
      </c>
      <c r="L218" s="152">
        <f t="shared" si="9"/>
        <v>0</v>
      </c>
      <c r="M218" s="103">
        <f>ROUND(L218*K218,2)</f>
        <v>0</v>
      </c>
      <c r="N218" s="81">
        <v>0</v>
      </c>
      <c r="O218" s="74">
        <v>0</v>
      </c>
      <c r="P218" s="81">
        <v>0</v>
      </c>
      <c r="Q218" s="74">
        <v>0</v>
      </c>
      <c r="R218" s="21"/>
      <c r="T218" s="152"/>
    </row>
    <row r="219" spans="2:20" s="1" customFormat="1" x14ac:dyDescent="0.25">
      <c r="B219" s="20"/>
      <c r="C219" s="172">
        <v>29</v>
      </c>
      <c r="D219" s="172" t="s">
        <v>72</v>
      </c>
      <c r="E219" s="173" t="s">
        <v>104</v>
      </c>
      <c r="F219" s="337" t="s">
        <v>105</v>
      </c>
      <c r="G219" s="338"/>
      <c r="H219" s="338"/>
      <c r="I219" s="338"/>
      <c r="J219" s="132" t="s">
        <v>76</v>
      </c>
      <c r="K219" s="74">
        <f>K218*5</f>
        <v>2718.4500000000003</v>
      </c>
      <c r="L219" s="152">
        <f t="shared" si="9"/>
        <v>0</v>
      </c>
      <c r="M219" s="103">
        <f>ROUND(L219*K219,2)</f>
        <v>0</v>
      </c>
      <c r="N219" s="81">
        <v>0</v>
      </c>
      <c r="O219" s="74">
        <v>0</v>
      </c>
      <c r="P219" s="81">
        <v>0</v>
      </c>
      <c r="Q219" s="74">
        <v>0</v>
      </c>
      <c r="R219" s="21"/>
      <c r="T219" s="152"/>
    </row>
    <row r="220" spans="2:20" s="1" customFormat="1" x14ac:dyDescent="0.25">
      <c r="B220" s="20"/>
      <c r="C220" s="165">
        <v>30</v>
      </c>
      <c r="D220" s="172" t="s">
        <v>72</v>
      </c>
      <c r="E220" s="173" t="s">
        <v>98</v>
      </c>
      <c r="F220" s="337" t="s">
        <v>99</v>
      </c>
      <c r="G220" s="338"/>
      <c r="H220" s="338"/>
      <c r="I220" s="338"/>
      <c r="J220" s="132" t="s">
        <v>76</v>
      </c>
      <c r="K220" s="74">
        <f>Q120+Q124</f>
        <v>158.08500000000001</v>
      </c>
      <c r="L220" s="152">
        <f>ROUND(T220*$T$112,0)</f>
        <v>0</v>
      </c>
      <c r="M220" s="103">
        <f>ROUND(L220*K220,2)</f>
        <v>0</v>
      </c>
      <c r="N220" s="81">
        <v>0</v>
      </c>
      <c r="O220" s="74">
        <v>0</v>
      </c>
      <c r="P220" s="81">
        <v>0</v>
      </c>
      <c r="Q220" s="74">
        <v>0</v>
      </c>
      <c r="R220" s="21"/>
      <c r="T220" s="152"/>
    </row>
    <row r="221" spans="2:20" s="1" customFormat="1" ht="26.25" customHeight="1" x14ac:dyDescent="0.25">
      <c r="B221" s="20"/>
      <c r="C221" s="155">
        <v>31</v>
      </c>
      <c r="D221" s="170" t="s">
        <v>72</v>
      </c>
      <c r="E221" s="171" t="s">
        <v>100</v>
      </c>
      <c r="F221" s="327" t="s">
        <v>101</v>
      </c>
      <c r="G221" s="328"/>
      <c r="H221" s="328"/>
      <c r="I221" s="328"/>
      <c r="J221" s="130" t="s">
        <v>76</v>
      </c>
      <c r="K221" s="75">
        <f>Q130+Q142+Q134+Q138</f>
        <v>385.60500000000002</v>
      </c>
      <c r="L221" s="153">
        <f>ROUND(T221*$T$112,0)</f>
        <v>0</v>
      </c>
      <c r="M221" s="114">
        <f>ROUND(L221*K221,2)</f>
        <v>0</v>
      </c>
      <c r="N221" s="82">
        <v>0</v>
      </c>
      <c r="O221" s="75">
        <v>0</v>
      </c>
      <c r="P221" s="82">
        <v>0</v>
      </c>
      <c r="Q221" s="75">
        <v>0</v>
      </c>
      <c r="R221" s="21"/>
      <c r="T221" s="153"/>
    </row>
    <row r="222" spans="2:20" s="99" customFormat="1" ht="15" x14ac:dyDescent="0.3">
      <c r="B222" s="98"/>
      <c r="D222" s="84" t="s">
        <v>82</v>
      </c>
      <c r="E222" s="84"/>
      <c r="F222" s="84"/>
      <c r="G222" s="84"/>
      <c r="H222" s="84"/>
      <c r="I222" s="84"/>
      <c r="J222" s="84"/>
      <c r="K222" s="84"/>
      <c r="L222" s="84"/>
      <c r="M222" s="111">
        <f>SUM(M223:M223)</f>
        <v>0</v>
      </c>
      <c r="O222" s="100">
        <f>SUM(O223:O223)</f>
        <v>0</v>
      </c>
      <c r="Q222" s="100">
        <f>SUM(Q223:Q223)</f>
        <v>0</v>
      </c>
      <c r="R222" s="105"/>
      <c r="T222" s="84"/>
    </row>
    <row r="223" spans="2:20" s="1" customFormat="1" ht="13.5" customHeight="1" x14ac:dyDescent="0.25">
      <c r="B223" s="20"/>
      <c r="C223" s="166">
        <v>37</v>
      </c>
      <c r="D223" s="166" t="s">
        <v>72</v>
      </c>
      <c r="E223" s="178" t="s">
        <v>114</v>
      </c>
      <c r="F223" s="329" t="s">
        <v>115</v>
      </c>
      <c r="G223" s="330"/>
      <c r="H223" s="330"/>
      <c r="I223" s="330"/>
      <c r="J223" s="124" t="s">
        <v>76</v>
      </c>
      <c r="K223" s="72">
        <f>O114</f>
        <v>711.1262835</v>
      </c>
      <c r="L223" s="150">
        <f>T223*$T$112</f>
        <v>0</v>
      </c>
      <c r="M223" s="112">
        <f>ROUND(L223*K223,2)</f>
        <v>0</v>
      </c>
      <c r="N223" s="79">
        <v>0</v>
      </c>
      <c r="O223" s="72">
        <v>0</v>
      </c>
      <c r="P223" s="79">
        <v>0</v>
      </c>
      <c r="Q223" s="72">
        <v>0</v>
      </c>
      <c r="R223" s="21"/>
      <c r="T223" s="150"/>
    </row>
    <row r="224" spans="2:20" s="138" customFormat="1" ht="15" x14ac:dyDescent="0.3">
      <c r="B224" s="139"/>
      <c r="D224" s="84" t="s">
        <v>136</v>
      </c>
      <c r="E224" s="84"/>
      <c r="F224" s="84"/>
      <c r="G224" s="84"/>
      <c r="H224" s="84"/>
      <c r="I224" s="84"/>
      <c r="J224" s="84"/>
      <c r="K224" s="140"/>
      <c r="L224" s="84"/>
      <c r="M224" s="111">
        <f>SUM(M225:M230)</f>
        <v>0</v>
      </c>
      <c r="O224" s="141">
        <f>SUM(O225:O230)</f>
        <v>0</v>
      </c>
      <c r="Q224" s="141">
        <f>SUM(Q225:Q230)</f>
        <v>0</v>
      </c>
      <c r="R224" s="142"/>
    </row>
    <row r="225" spans="1:18" s="1" customFormat="1" x14ac:dyDescent="0.3">
      <c r="A225" s="138"/>
      <c r="B225" s="143"/>
      <c r="C225" s="174">
        <v>38</v>
      </c>
      <c r="D225" s="174" t="s">
        <v>72</v>
      </c>
      <c r="E225" s="175"/>
      <c r="F225" s="331" t="s">
        <v>91</v>
      </c>
      <c r="G225" s="332"/>
      <c r="H225" s="332"/>
      <c r="I225" s="332"/>
      <c r="J225" s="144" t="s">
        <v>83</v>
      </c>
      <c r="K225" s="83">
        <v>1</v>
      </c>
      <c r="L225" s="147"/>
      <c r="M225" s="113">
        <f t="shared" ref="M225:M230" si="10">ROUND(L225*K225,2)</f>
        <v>0</v>
      </c>
      <c r="N225" s="80">
        <v>0</v>
      </c>
      <c r="O225" s="73">
        <f t="shared" ref="O225:O230" si="11">N225*K225</f>
        <v>0</v>
      </c>
      <c r="P225" s="80">
        <v>0</v>
      </c>
      <c r="Q225" s="73">
        <f t="shared" ref="Q225:Q230" si="12">P225*K225</f>
        <v>0</v>
      </c>
      <c r="R225" s="145"/>
    </row>
    <row r="226" spans="1:18" s="1" customFormat="1" x14ac:dyDescent="0.3">
      <c r="A226" s="138"/>
      <c r="B226" s="143"/>
      <c r="C226" s="176">
        <v>39</v>
      </c>
      <c r="D226" s="176" t="s">
        <v>72</v>
      </c>
      <c r="E226" s="177"/>
      <c r="F226" s="333" t="s">
        <v>92</v>
      </c>
      <c r="G226" s="334"/>
      <c r="H226" s="334"/>
      <c r="I226" s="334"/>
      <c r="J226" s="146" t="s">
        <v>83</v>
      </c>
      <c r="K226" s="102">
        <v>1</v>
      </c>
      <c r="L226" s="148"/>
      <c r="M226" s="103">
        <f t="shared" si="10"/>
        <v>0</v>
      </c>
      <c r="N226" s="81">
        <v>0</v>
      </c>
      <c r="O226" s="74">
        <f t="shared" si="11"/>
        <v>0</v>
      </c>
      <c r="P226" s="81">
        <v>0</v>
      </c>
      <c r="Q226" s="74">
        <f t="shared" si="12"/>
        <v>0</v>
      </c>
      <c r="R226" s="145"/>
    </row>
    <row r="227" spans="1:18" s="1" customFormat="1" x14ac:dyDescent="0.3">
      <c r="A227" s="138"/>
      <c r="B227" s="143"/>
      <c r="C227" s="176">
        <v>40</v>
      </c>
      <c r="D227" s="176" t="s">
        <v>72</v>
      </c>
      <c r="E227" s="177"/>
      <c r="F227" s="333" t="s">
        <v>93</v>
      </c>
      <c r="G227" s="334"/>
      <c r="H227" s="334"/>
      <c r="I227" s="334"/>
      <c r="J227" s="146" t="s">
        <v>83</v>
      </c>
      <c r="K227" s="102">
        <v>1</v>
      </c>
      <c r="L227" s="148"/>
      <c r="M227" s="103">
        <f t="shared" si="10"/>
        <v>0</v>
      </c>
      <c r="N227" s="81">
        <v>0</v>
      </c>
      <c r="O227" s="74">
        <f t="shared" si="11"/>
        <v>0</v>
      </c>
      <c r="P227" s="81">
        <v>0</v>
      </c>
      <c r="Q227" s="74">
        <f t="shared" si="12"/>
        <v>0</v>
      </c>
      <c r="R227" s="145"/>
    </row>
    <row r="228" spans="1:18" s="1" customFormat="1" x14ac:dyDescent="0.3">
      <c r="A228" s="138"/>
      <c r="B228" s="143"/>
      <c r="C228" s="176">
        <v>41</v>
      </c>
      <c r="D228" s="176" t="s">
        <v>72</v>
      </c>
      <c r="E228" s="177"/>
      <c r="F228" s="333" t="s">
        <v>94</v>
      </c>
      <c r="G228" s="334"/>
      <c r="H228" s="334"/>
      <c r="I228" s="334"/>
      <c r="J228" s="146" t="s">
        <v>83</v>
      </c>
      <c r="K228" s="102">
        <v>1</v>
      </c>
      <c r="L228" s="148"/>
      <c r="M228" s="103">
        <f t="shared" si="10"/>
        <v>0</v>
      </c>
      <c r="N228" s="81">
        <v>0</v>
      </c>
      <c r="O228" s="74">
        <f t="shared" si="11"/>
        <v>0</v>
      </c>
      <c r="P228" s="81">
        <v>0</v>
      </c>
      <c r="Q228" s="74">
        <f t="shared" si="12"/>
        <v>0</v>
      </c>
      <c r="R228" s="145"/>
    </row>
    <row r="229" spans="1:18" s="1" customFormat="1" ht="13.5" customHeight="1" x14ac:dyDescent="0.3">
      <c r="A229" s="138"/>
      <c r="B229" s="143"/>
      <c r="C229" s="176">
        <v>42</v>
      </c>
      <c r="D229" s="176" t="s">
        <v>72</v>
      </c>
      <c r="E229" s="177"/>
      <c r="F229" s="333" t="s">
        <v>195</v>
      </c>
      <c r="G229" s="334"/>
      <c r="H229" s="334"/>
      <c r="I229" s="334"/>
      <c r="J229" s="146" t="s">
        <v>83</v>
      </c>
      <c r="K229" s="102">
        <v>1</v>
      </c>
      <c r="L229" s="148"/>
      <c r="M229" s="103">
        <f t="shared" si="10"/>
        <v>0</v>
      </c>
      <c r="N229" s="81">
        <v>0</v>
      </c>
      <c r="O229" s="74">
        <f t="shared" si="11"/>
        <v>0</v>
      </c>
      <c r="P229" s="81">
        <v>0</v>
      </c>
      <c r="Q229" s="74">
        <f t="shared" si="12"/>
        <v>0</v>
      </c>
      <c r="R229" s="145"/>
    </row>
    <row r="230" spans="1:18" s="1" customFormat="1" x14ac:dyDescent="0.3">
      <c r="A230" s="138"/>
      <c r="B230" s="143"/>
      <c r="C230" s="234">
        <v>43</v>
      </c>
      <c r="D230" s="234" t="s">
        <v>72</v>
      </c>
      <c r="E230" s="260"/>
      <c r="F230" s="340" t="s">
        <v>95</v>
      </c>
      <c r="G230" s="341"/>
      <c r="H230" s="341"/>
      <c r="I230" s="341"/>
      <c r="J230" s="235" t="s">
        <v>83</v>
      </c>
      <c r="K230" s="236">
        <v>1</v>
      </c>
      <c r="L230" s="237"/>
      <c r="M230" s="114">
        <f t="shared" si="10"/>
        <v>0</v>
      </c>
      <c r="N230" s="82">
        <v>0</v>
      </c>
      <c r="O230" s="75">
        <f t="shared" si="11"/>
        <v>0</v>
      </c>
      <c r="P230" s="82">
        <v>0</v>
      </c>
      <c r="Q230" s="75">
        <f t="shared" si="12"/>
        <v>0</v>
      </c>
      <c r="R230" s="145"/>
    </row>
    <row r="231" spans="1:18" s="77" customFormat="1" ht="7.5" x14ac:dyDescent="0.15">
      <c r="A231" s="213"/>
      <c r="B231" s="214"/>
      <c r="C231" s="215"/>
      <c r="D231" s="215"/>
      <c r="E231" s="216"/>
      <c r="F231" s="217"/>
      <c r="G231" s="217"/>
      <c r="H231" s="217"/>
      <c r="I231" s="217"/>
      <c r="J231" s="218"/>
      <c r="K231" s="219"/>
      <c r="L231" s="220"/>
      <c r="M231" s="94"/>
      <c r="N231" s="221"/>
      <c r="O231" s="134"/>
      <c r="P231" s="221"/>
      <c r="Q231" s="134"/>
      <c r="R231" s="104"/>
    </row>
    <row r="232" spans="1:18" s="1" customFormat="1" x14ac:dyDescent="0.3">
      <c r="A232" s="138"/>
      <c r="B232" s="68"/>
      <c r="C232" s="222" t="s">
        <v>137</v>
      </c>
      <c r="D232" s="131"/>
      <c r="E232" s="200"/>
      <c r="F232" s="201"/>
      <c r="G232" s="201"/>
      <c r="H232" s="201"/>
      <c r="I232" s="201"/>
      <c r="J232" s="202"/>
      <c r="K232" s="205"/>
      <c r="L232" s="69"/>
      <c r="M232" s="87"/>
      <c r="N232" s="156"/>
      <c r="O232" s="115"/>
      <c r="P232" s="156"/>
      <c r="Q232" s="115"/>
      <c r="R232" s="21"/>
    </row>
    <row r="233" spans="1:18" s="1" customFormat="1" x14ac:dyDescent="0.3">
      <c r="A233" s="138"/>
      <c r="B233" s="68"/>
      <c r="C233" s="323" t="s">
        <v>168</v>
      </c>
      <c r="D233" s="323"/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323"/>
      <c r="P233" s="323"/>
      <c r="Q233" s="323"/>
      <c r="R233" s="21"/>
    </row>
    <row r="234" spans="1:18" s="1" customFormat="1" ht="6.95" customHeight="1" x14ac:dyDescent="0.25"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92"/>
      <c r="O234" s="92"/>
      <c r="P234" s="92"/>
      <c r="Q234" s="92"/>
      <c r="R234" s="42"/>
    </row>
  </sheetData>
  <mergeCells count="118">
    <mergeCell ref="F168:J168"/>
    <mergeCell ref="O12:P12"/>
    <mergeCell ref="O13:P13"/>
    <mergeCell ref="O15:P15"/>
    <mergeCell ref="O16:P16"/>
    <mergeCell ref="O18:P18"/>
    <mergeCell ref="O19:P19"/>
    <mergeCell ref="H33:J33"/>
    <mergeCell ref="M33:P33"/>
    <mergeCell ref="M81:Q81"/>
    <mergeCell ref="M82:Q82"/>
    <mergeCell ref="C84:G84"/>
    <mergeCell ref="O84:Q84"/>
    <mergeCell ref="O86:Q86"/>
    <mergeCell ref="O87:Q87"/>
    <mergeCell ref="H34:J34"/>
    <mergeCell ref="M34:P34"/>
    <mergeCell ref="L36:P36"/>
    <mergeCell ref="C75:Q75"/>
    <mergeCell ref="F77:P77"/>
    <mergeCell ref="M79:N79"/>
    <mergeCell ref="C102:Q102"/>
    <mergeCell ref="C1:Q1"/>
    <mergeCell ref="C3:Q3"/>
    <mergeCell ref="F5:P5"/>
    <mergeCell ref="O7:P7"/>
    <mergeCell ref="O9:P9"/>
    <mergeCell ref="O10:P10"/>
    <mergeCell ref="H31:J31"/>
    <mergeCell ref="M31:P31"/>
    <mergeCell ref="H32:J32"/>
    <mergeCell ref="M32:P32"/>
    <mergeCell ref="E22:L22"/>
    <mergeCell ref="M25:P25"/>
    <mergeCell ref="M26:P26"/>
    <mergeCell ref="M28:P28"/>
    <mergeCell ref="H30:J30"/>
    <mergeCell ref="M30:P30"/>
    <mergeCell ref="F104:P104"/>
    <mergeCell ref="M106:P106"/>
    <mergeCell ref="M108:Q108"/>
    <mergeCell ref="M109:Q109"/>
    <mergeCell ref="O88:Q88"/>
    <mergeCell ref="O89:Q89"/>
    <mergeCell ref="O90:Q90"/>
    <mergeCell ref="O91:Q91"/>
    <mergeCell ref="O92:Q92"/>
    <mergeCell ref="O94:Q94"/>
    <mergeCell ref="O96:Q96"/>
    <mergeCell ref="L111:M111"/>
    <mergeCell ref="N111:O111"/>
    <mergeCell ref="P111:Q111"/>
    <mergeCell ref="F116:I116"/>
    <mergeCell ref="F117:J117"/>
    <mergeCell ref="F120:I120"/>
    <mergeCell ref="C111:C112"/>
    <mergeCell ref="D111:D112"/>
    <mergeCell ref="E111:E112"/>
    <mergeCell ref="F111:I112"/>
    <mergeCell ref="J111:J112"/>
    <mergeCell ref="K111:K112"/>
    <mergeCell ref="F131:J131"/>
    <mergeCell ref="F142:I142"/>
    <mergeCell ref="F149:I149"/>
    <mergeCell ref="F150:I150"/>
    <mergeCell ref="F151:I151"/>
    <mergeCell ref="F121:J121"/>
    <mergeCell ref="F124:I124"/>
    <mergeCell ref="F125:J125"/>
    <mergeCell ref="F130:I130"/>
    <mergeCell ref="F196:I196"/>
    <mergeCell ref="F197:J197"/>
    <mergeCell ref="F139:J139"/>
    <mergeCell ref="F229:I229"/>
    <mergeCell ref="F230:I230"/>
    <mergeCell ref="F184:I184"/>
    <mergeCell ref="F190:I190"/>
    <mergeCell ref="F174:I174"/>
    <mergeCell ref="F182:I182"/>
    <mergeCell ref="F175:J175"/>
    <mergeCell ref="F205:J205"/>
    <mergeCell ref="F208:I208"/>
    <mergeCell ref="F171:I171"/>
    <mergeCell ref="F172:I172"/>
    <mergeCell ref="F173:J173"/>
    <mergeCell ref="F157:I157"/>
    <mergeCell ref="F158:I158"/>
    <mergeCell ref="F152:J152"/>
    <mergeCell ref="F162:I162"/>
    <mergeCell ref="F163:J163"/>
    <mergeCell ref="F166:I166"/>
    <mergeCell ref="F159:J159"/>
    <mergeCell ref="F183:J183"/>
    <mergeCell ref="F167:J167"/>
    <mergeCell ref="C233:Q233"/>
    <mergeCell ref="F138:I138"/>
    <mergeCell ref="F134:I134"/>
    <mergeCell ref="F135:J135"/>
    <mergeCell ref="F143:J143"/>
    <mergeCell ref="F221:I221"/>
    <mergeCell ref="F223:I223"/>
    <mergeCell ref="F225:I225"/>
    <mergeCell ref="F226:I226"/>
    <mergeCell ref="F227:I227"/>
    <mergeCell ref="F228:I228"/>
    <mergeCell ref="F212:I212"/>
    <mergeCell ref="F213:J213"/>
    <mergeCell ref="F217:I217"/>
    <mergeCell ref="F218:I218"/>
    <mergeCell ref="F219:I219"/>
    <mergeCell ref="F220:I220"/>
    <mergeCell ref="F200:I200"/>
    <mergeCell ref="F201:J201"/>
    <mergeCell ref="F204:I204"/>
    <mergeCell ref="F209:J209"/>
    <mergeCell ref="F191:I191"/>
    <mergeCell ref="F192:I192"/>
    <mergeCell ref="F193:J193"/>
  </mergeCells>
  <phoneticPr fontId="39" type="noConversion"/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V151"/>
  <sheetViews>
    <sheetView showGridLines="0" tabSelected="1" workbookViewId="0">
      <selection activeCell="V10" sqref="V10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6" bestFit="1" customWidth="1"/>
    <col min="15" max="15" width="11.85546875" style="86" bestFit="1" customWidth="1"/>
    <col min="16" max="16" width="7.5703125" style="86" bestFit="1" customWidth="1"/>
    <col min="17" max="17" width="11.85546875" style="86" bestFit="1" customWidth="1"/>
    <col min="18" max="18" width="2.140625" customWidth="1"/>
    <col min="19" max="19" width="3.42578125" customWidth="1"/>
  </cols>
  <sheetData>
    <row r="1" spans="2:18" ht="17.25" customHeight="1" x14ac:dyDescent="0.3">
      <c r="C1" s="316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5"/>
      <c r="O2" s="85"/>
      <c r="P2" s="85"/>
      <c r="Q2" s="85"/>
      <c r="R2" s="11"/>
    </row>
    <row r="3" spans="2:18" ht="36.950000000000003" customHeight="1" x14ac:dyDescent="0.3">
      <c r="B3" s="12"/>
      <c r="C3" s="294" t="s">
        <v>54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13"/>
    </row>
    <row r="4" spans="2:18" ht="6.95" customHeight="1" x14ac:dyDescent="0.3">
      <c r="B4" s="12"/>
      <c r="R4" s="13"/>
    </row>
    <row r="5" spans="2:18" s="1" customFormat="1" ht="32.85" customHeight="1" x14ac:dyDescent="0.25">
      <c r="B5" s="20"/>
      <c r="D5" s="16" t="s">
        <v>7</v>
      </c>
      <c r="F5" s="319" t="s">
        <v>196</v>
      </c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87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7"/>
      <c r="O6" s="119" t="s">
        <v>10</v>
      </c>
      <c r="P6" s="87"/>
      <c r="Q6" s="87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7"/>
      <c r="O7" s="353">
        <f>'Rekapitulace stavby'!AN7</f>
        <v>45803</v>
      </c>
      <c r="P7" s="354"/>
      <c r="Q7" s="87"/>
      <c r="R7" s="21"/>
    </row>
    <row r="8" spans="2:18" s="1" customFormat="1" ht="10.9" customHeight="1" x14ac:dyDescent="0.25">
      <c r="B8" s="20"/>
      <c r="N8" s="87"/>
      <c r="O8" s="87"/>
      <c r="P8" s="87"/>
      <c r="Q8" s="87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7"/>
      <c r="O9" s="355" t="s">
        <v>10</v>
      </c>
      <c r="P9" s="305"/>
      <c r="Q9" s="87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7"/>
      <c r="O10" s="355" t="s">
        <v>10</v>
      </c>
      <c r="P10" s="305"/>
      <c r="Q10" s="87"/>
      <c r="R10" s="21"/>
    </row>
    <row r="11" spans="2:18" s="1" customFormat="1" ht="6.95" customHeight="1" x14ac:dyDescent="0.25">
      <c r="B11" s="20"/>
      <c r="N11" s="87"/>
      <c r="O11" s="87"/>
      <c r="P11" s="87"/>
      <c r="Q11" s="87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7"/>
      <c r="O12" s="355" t="s">
        <v>10</v>
      </c>
      <c r="P12" s="305"/>
      <c r="Q12" s="87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7"/>
      <c r="O13" s="355" t="s">
        <v>10</v>
      </c>
      <c r="P13" s="305"/>
      <c r="Q13" s="87"/>
      <c r="R13" s="21"/>
    </row>
    <row r="14" spans="2:18" s="1" customFormat="1" ht="6.95" customHeight="1" x14ac:dyDescent="0.25">
      <c r="B14" s="20"/>
      <c r="N14" s="87"/>
      <c r="O14" s="87"/>
      <c r="P14" s="87"/>
      <c r="Q14" s="87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7"/>
      <c r="O15" s="355" t="s">
        <v>10</v>
      </c>
      <c r="P15" s="305"/>
      <c r="Q15" s="87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7"/>
      <c r="O16" s="355" t="s">
        <v>10</v>
      </c>
      <c r="P16" s="305"/>
      <c r="Q16" s="87"/>
      <c r="R16" s="21"/>
    </row>
    <row r="17" spans="2:18" s="1" customFormat="1" ht="6.95" customHeight="1" x14ac:dyDescent="0.25">
      <c r="B17" s="20"/>
      <c r="N17" s="87"/>
      <c r="O17" s="87"/>
      <c r="P17" s="87"/>
      <c r="Q17" s="87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7"/>
      <c r="O18" s="355" t="s">
        <v>10</v>
      </c>
      <c r="P18" s="305"/>
      <c r="Q18" s="87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7"/>
      <c r="O19" s="355" t="s">
        <v>10</v>
      </c>
      <c r="P19" s="305"/>
      <c r="Q19" s="87"/>
      <c r="R19" s="21"/>
    </row>
    <row r="20" spans="2:18" s="1" customFormat="1" ht="6.95" customHeight="1" x14ac:dyDescent="0.25">
      <c r="B20" s="20"/>
      <c r="N20" s="87"/>
      <c r="O20" s="87"/>
      <c r="P20" s="87"/>
      <c r="Q20" s="87"/>
      <c r="R20" s="21"/>
    </row>
    <row r="21" spans="2:18" s="1" customFormat="1" ht="14.45" customHeight="1" x14ac:dyDescent="0.25">
      <c r="B21" s="20"/>
      <c r="D21" s="17" t="s">
        <v>26</v>
      </c>
      <c r="N21" s="87"/>
      <c r="O21" s="87"/>
      <c r="P21" s="87"/>
      <c r="Q21" s="87"/>
      <c r="R21" s="21"/>
    </row>
    <row r="22" spans="2:18" s="1" customFormat="1" ht="22.5" customHeight="1" x14ac:dyDescent="0.25">
      <c r="B22" s="20"/>
      <c r="E22" s="320" t="s">
        <v>10</v>
      </c>
      <c r="F22" s="295"/>
      <c r="G22" s="295"/>
      <c r="H22" s="295"/>
      <c r="I22" s="295"/>
      <c r="J22" s="295"/>
      <c r="K22" s="295"/>
      <c r="L22" s="295"/>
      <c r="N22" s="87"/>
      <c r="O22" s="87"/>
      <c r="P22" s="87"/>
      <c r="Q22" s="87"/>
      <c r="R22" s="21"/>
    </row>
    <row r="23" spans="2:18" s="1" customFormat="1" ht="6.95" customHeight="1" x14ac:dyDescent="0.25">
      <c r="B23" s="20"/>
      <c r="N23" s="87"/>
      <c r="O23" s="87"/>
      <c r="P23" s="87"/>
      <c r="Q23" s="87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8"/>
      <c r="O24" s="88"/>
      <c r="P24" s="88"/>
      <c r="Q24" s="87"/>
      <c r="R24" s="21"/>
    </row>
    <row r="25" spans="2:18" s="1" customFormat="1" ht="14.45" customHeight="1" x14ac:dyDescent="0.25">
      <c r="B25" s="20"/>
      <c r="D25" s="120" t="s">
        <v>55</v>
      </c>
      <c r="H25" s="87"/>
      <c r="I25" s="87"/>
      <c r="J25" s="87"/>
      <c r="K25" s="87"/>
      <c r="L25" s="87"/>
      <c r="M25" s="321">
        <f>O86</f>
        <v>0</v>
      </c>
      <c r="N25" s="305"/>
      <c r="O25" s="305"/>
      <c r="P25" s="305"/>
      <c r="Q25" s="87"/>
      <c r="R25" s="21"/>
    </row>
    <row r="26" spans="2:18" s="1" customFormat="1" ht="14.45" customHeight="1" x14ac:dyDescent="0.25">
      <c r="B26" s="20"/>
      <c r="D26" s="19" t="s">
        <v>56</v>
      </c>
      <c r="H26" s="87"/>
      <c r="I26" s="87"/>
      <c r="J26" s="87"/>
      <c r="K26" s="87"/>
      <c r="L26" s="87"/>
      <c r="M26" s="321">
        <f>O89</f>
        <v>0</v>
      </c>
      <c r="N26" s="305"/>
      <c r="O26" s="305"/>
      <c r="P26" s="305"/>
      <c r="Q26" s="87"/>
      <c r="R26" s="21"/>
    </row>
    <row r="27" spans="2:18" s="1" customFormat="1" ht="6.95" customHeight="1" x14ac:dyDescent="0.25">
      <c r="B27" s="20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1"/>
    </row>
    <row r="28" spans="2:18" s="1" customFormat="1" ht="25.35" customHeight="1" x14ac:dyDescent="0.25">
      <c r="B28" s="20"/>
      <c r="D28" s="121" t="s">
        <v>29</v>
      </c>
      <c r="H28" s="87"/>
      <c r="I28" s="87"/>
      <c r="J28" s="87"/>
      <c r="K28" s="87"/>
      <c r="L28" s="87"/>
      <c r="M28" s="356">
        <f>ROUND(M25+M26,2)</f>
        <v>0</v>
      </c>
      <c r="N28" s="305"/>
      <c r="O28" s="305"/>
      <c r="P28" s="305"/>
      <c r="Q28" s="87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8"/>
      <c r="I29" s="88"/>
      <c r="J29" s="88"/>
      <c r="K29" s="88"/>
      <c r="L29" s="88"/>
      <c r="M29" s="88"/>
      <c r="N29" s="88"/>
      <c r="O29" s="88"/>
      <c r="P29" s="88"/>
      <c r="Q29" s="87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22">
        <v>0.21</v>
      </c>
      <c r="G30" s="123" t="s">
        <v>32</v>
      </c>
      <c r="H30" s="313">
        <f>M28</f>
        <v>0</v>
      </c>
      <c r="I30" s="305"/>
      <c r="J30" s="305"/>
      <c r="K30" s="87"/>
      <c r="L30" s="87"/>
      <c r="M30" s="313">
        <f>H30*F30</f>
        <v>0</v>
      </c>
      <c r="N30" s="305"/>
      <c r="O30" s="305"/>
      <c r="P30" s="305"/>
      <c r="Q30" s="87"/>
      <c r="R30" s="21"/>
    </row>
    <row r="31" spans="2:18" s="1" customFormat="1" ht="14.45" customHeight="1" x14ac:dyDescent="0.25">
      <c r="B31" s="20"/>
      <c r="E31" s="25" t="s">
        <v>33</v>
      </c>
      <c r="F31" s="122">
        <v>0.12</v>
      </c>
      <c r="G31" s="123" t="s">
        <v>32</v>
      </c>
      <c r="H31" s="313"/>
      <c r="I31" s="305"/>
      <c r="J31" s="305"/>
      <c r="K31" s="87"/>
      <c r="L31" s="87"/>
      <c r="M31" s="313"/>
      <c r="N31" s="305"/>
      <c r="O31" s="305"/>
      <c r="P31" s="305"/>
      <c r="Q31" s="87"/>
      <c r="R31" s="21"/>
    </row>
    <row r="32" spans="2:18" s="1" customFormat="1" ht="14.45" hidden="1" customHeight="1" x14ac:dyDescent="0.25">
      <c r="B32" s="20"/>
      <c r="E32" s="25" t="s">
        <v>34</v>
      </c>
      <c r="F32" s="122">
        <v>0.21</v>
      </c>
      <c r="G32" s="123" t="s">
        <v>32</v>
      </c>
      <c r="H32" s="313" t="e">
        <f>ROUND((SUM(#REF!)+SUM(#REF!)), 2)</f>
        <v>#REF!</v>
      </c>
      <c r="I32" s="305"/>
      <c r="J32" s="305"/>
      <c r="K32" s="87"/>
      <c r="L32" s="87"/>
      <c r="M32" s="313">
        <v>0</v>
      </c>
      <c r="N32" s="305"/>
      <c r="O32" s="305"/>
      <c r="P32" s="305"/>
      <c r="Q32" s="87"/>
      <c r="R32" s="21"/>
    </row>
    <row r="33" spans="2:18" s="1" customFormat="1" ht="14.45" hidden="1" customHeight="1" x14ac:dyDescent="0.25">
      <c r="B33" s="20"/>
      <c r="E33" s="25" t="s">
        <v>35</v>
      </c>
      <c r="F33" s="122">
        <v>0.15</v>
      </c>
      <c r="G33" s="123" t="s">
        <v>32</v>
      </c>
      <c r="H33" s="313" t="e">
        <f>ROUND((SUM(#REF!)+SUM(#REF!)), 2)</f>
        <v>#REF!</v>
      </c>
      <c r="I33" s="305"/>
      <c r="J33" s="305"/>
      <c r="K33" s="87"/>
      <c r="L33" s="87"/>
      <c r="M33" s="313">
        <v>0</v>
      </c>
      <c r="N33" s="305"/>
      <c r="O33" s="305"/>
      <c r="P33" s="305"/>
      <c r="Q33" s="87"/>
      <c r="R33" s="21"/>
    </row>
    <row r="34" spans="2:18" s="1" customFormat="1" ht="14.45" hidden="1" customHeight="1" x14ac:dyDescent="0.25">
      <c r="B34" s="20"/>
      <c r="E34" s="25" t="s">
        <v>36</v>
      </c>
      <c r="F34" s="122">
        <v>0</v>
      </c>
      <c r="G34" s="123" t="s">
        <v>32</v>
      </c>
      <c r="H34" s="313" t="e">
        <f>ROUND((SUM(#REF!)+SUM(#REF!)), 2)</f>
        <v>#REF!</v>
      </c>
      <c r="I34" s="305"/>
      <c r="J34" s="305"/>
      <c r="K34" s="87"/>
      <c r="L34" s="87"/>
      <c r="M34" s="313">
        <v>0</v>
      </c>
      <c r="N34" s="305"/>
      <c r="O34" s="305"/>
      <c r="P34" s="305"/>
      <c r="Q34" s="87"/>
      <c r="R34" s="21"/>
    </row>
    <row r="35" spans="2:18" s="1" customFormat="1" ht="6.95" customHeight="1" x14ac:dyDescent="0.25">
      <c r="B35" s="20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21"/>
    </row>
    <row r="36" spans="2:18" s="1" customFormat="1" ht="25.35" customHeight="1" x14ac:dyDescent="0.25">
      <c r="B36" s="20"/>
      <c r="D36" s="62" t="s">
        <v>37</v>
      </c>
      <c r="E36" s="52"/>
      <c r="F36" s="52"/>
      <c r="G36" s="63" t="s">
        <v>38</v>
      </c>
      <c r="H36" s="135" t="s">
        <v>39</v>
      </c>
      <c r="I36" s="136"/>
      <c r="J36" s="136"/>
      <c r="K36" s="136"/>
      <c r="L36" s="360">
        <f>SUM(M28:M34)</f>
        <v>0</v>
      </c>
      <c r="M36" s="361"/>
      <c r="N36" s="361"/>
      <c r="O36" s="361"/>
      <c r="P36" s="362"/>
      <c r="Q36" s="87"/>
      <c r="R36" s="21"/>
    </row>
    <row r="37" spans="2:18" s="1" customFormat="1" ht="14.45" customHeight="1" x14ac:dyDescent="0.25">
      <c r="B37" s="20"/>
      <c r="N37" s="87"/>
      <c r="O37" s="87"/>
      <c r="P37" s="87"/>
      <c r="Q37" s="87"/>
      <c r="R37" s="21"/>
    </row>
    <row r="38" spans="2:18" s="1" customFormat="1" ht="14.45" customHeight="1" x14ac:dyDescent="0.25">
      <c r="B38" s="20"/>
      <c r="N38" s="87"/>
      <c r="O38" s="87"/>
      <c r="P38" s="87"/>
      <c r="Q38" s="87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8"/>
      <c r="O49" s="88"/>
      <c r="P49" s="89"/>
      <c r="Q49" s="87"/>
      <c r="R49" s="21"/>
    </row>
    <row r="50" spans="2:18" x14ac:dyDescent="0.3">
      <c r="B50" s="12"/>
      <c r="D50" s="34"/>
      <c r="H50" s="35"/>
      <c r="J50" s="34"/>
      <c r="P50" s="90"/>
      <c r="R50" s="13"/>
    </row>
    <row r="51" spans="2:18" x14ac:dyDescent="0.3">
      <c r="B51" s="12"/>
      <c r="D51" s="34"/>
      <c r="H51" s="35"/>
      <c r="J51" s="34"/>
      <c r="P51" s="90"/>
      <c r="R51" s="13"/>
    </row>
    <row r="52" spans="2:18" x14ac:dyDescent="0.3">
      <c r="B52" s="12"/>
      <c r="D52" s="34"/>
      <c r="H52" s="35"/>
      <c r="J52" s="34"/>
      <c r="P52" s="90"/>
      <c r="R52" s="13"/>
    </row>
    <row r="53" spans="2:18" x14ac:dyDescent="0.3">
      <c r="B53" s="12"/>
      <c r="D53" s="34"/>
      <c r="H53" s="35"/>
      <c r="J53" s="34"/>
      <c r="P53" s="90"/>
      <c r="R53" s="13"/>
    </row>
    <row r="54" spans="2:18" x14ac:dyDescent="0.3">
      <c r="B54" s="12"/>
      <c r="D54" s="34"/>
      <c r="H54" s="35"/>
      <c r="J54" s="34"/>
      <c r="P54" s="90"/>
      <c r="R54" s="13"/>
    </row>
    <row r="55" spans="2:18" x14ac:dyDescent="0.3">
      <c r="B55" s="12"/>
      <c r="D55" s="34"/>
      <c r="H55" s="35"/>
      <c r="J55" s="34"/>
      <c r="P55" s="90"/>
      <c r="R55" s="13"/>
    </row>
    <row r="56" spans="2:18" x14ac:dyDescent="0.3">
      <c r="B56" s="12"/>
      <c r="D56" s="34"/>
      <c r="H56" s="35"/>
      <c r="J56" s="34"/>
      <c r="P56" s="90"/>
      <c r="R56" s="13"/>
    </row>
    <row r="57" spans="2:18" x14ac:dyDescent="0.3">
      <c r="B57" s="12"/>
      <c r="D57" s="34"/>
      <c r="H57" s="35"/>
      <c r="J57" s="34"/>
      <c r="P57" s="90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5" t="s">
        <v>43</v>
      </c>
      <c r="O58" s="96"/>
      <c r="P58" s="91"/>
      <c r="Q58" s="87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8"/>
      <c r="O60" s="88"/>
      <c r="P60" s="89"/>
      <c r="Q60" s="87"/>
      <c r="R60" s="21"/>
    </row>
    <row r="61" spans="2:18" x14ac:dyDescent="0.3">
      <c r="B61" s="12"/>
      <c r="D61" s="34"/>
      <c r="H61" s="35"/>
      <c r="J61" s="34"/>
      <c r="P61" s="90"/>
      <c r="R61" s="13"/>
    </row>
    <row r="62" spans="2:18" x14ac:dyDescent="0.3">
      <c r="B62" s="12"/>
      <c r="D62" s="34"/>
      <c r="H62" s="35"/>
      <c r="J62" s="34"/>
      <c r="P62" s="90"/>
      <c r="R62" s="13"/>
    </row>
    <row r="63" spans="2:18" x14ac:dyDescent="0.3">
      <c r="B63" s="12"/>
      <c r="D63" s="34"/>
      <c r="H63" s="35"/>
      <c r="J63" s="34"/>
      <c r="P63" s="90"/>
      <c r="R63" s="13"/>
    </row>
    <row r="64" spans="2:18" x14ac:dyDescent="0.3">
      <c r="B64" s="12"/>
      <c r="D64" s="34"/>
      <c r="H64" s="35"/>
      <c r="J64" s="34"/>
      <c r="P64" s="90"/>
      <c r="R64" s="13"/>
    </row>
    <row r="65" spans="2:18" x14ac:dyDescent="0.3">
      <c r="B65" s="12"/>
      <c r="D65" s="34"/>
      <c r="H65" s="35"/>
      <c r="J65" s="34"/>
      <c r="P65" s="90"/>
      <c r="R65" s="13"/>
    </row>
    <row r="66" spans="2:18" x14ac:dyDescent="0.3">
      <c r="B66" s="12"/>
      <c r="D66" s="34"/>
      <c r="H66" s="35"/>
      <c r="J66" s="34"/>
      <c r="P66" s="90"/>
      <c r="R66" s="13"/>
    </row>
    <row r="67" spans="2:18" x14ac:dyDescent="0.3">
      <c r="B67" s="12"/>
      <c r="D67" s="34"/>
      <c r="H67" s="35"/>
      <c r="J67" s="34"/>
      <c r="P67" s="90"/>
      <c r="R67" s="13"/>
    </row>
    <row r="68" spans="2:18" x14ac:dyDescent="0.3">
      <c r="B68" s="12"/>
      <c r="D68" s="34"/>
      <c r="H68" s="35"/>
      <c r="J68" s="34"/>
      <c r="P68" s="90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5" t="s">
        <v>43</v>
      </c>
      <c r="O69" s="96"/>
      <c r="P69" s="91"/>
      <c r="Q69" s="87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2"/>
      <c r="O70" s="92"/>
      <c r="P70" s="92"/>
      <c r="Q70" s="92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3"/>
      <c r="O74" s="93"/>
      <c r="P74" s="93"/>
      <c r="Q74" s="93"/>
      <c r="R74" s="45"/>
    </row>
    <row r="75" spans="2:18" s="1" customFormat="1" ht="36.950000000000003" customHeight="1" x14ac:dyDescent="0.25">
      <c r="B75" s="20"/>
      <c r="C75" s="294" t="s">
        <v>57</v>
      </c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1"/>
    </row>
    <row r="76" spans="2:18" s="1" customFormat="1" ht="6.95" customHeight="1" x14ac:dyDescent="0.25">
      <c r="B76" s="20"/>
      <c r="N76" s="87"/>
      <c r="O76" s="87"/>
      <c r="P76" s="87"/>
      <c r="Q76" s="87"/>
      <c r="R76" s="21"/>
    </row>
    <row r="77" spans="2:18" s="1" customFormat="1" ht="36.950000000000003" customHeight="1" x14ac:dyDescent="0.25">
      <c r="B77" s="20"/>
      <c r="C77" s="49" t="s">
        <v>7</v>
      </c>
      <c r="F77" s="302" t="str">
        <f>F5</f>
        <v>Oprava části asfaltového povrchu MK v ulici Na Ostrově v Chrudimi - ČÁST 1
DOČASNÝ SJEZD</v>
      </c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87"/>
      <c r="R77" s="21"/>
    </row>
    <row r="78" spans="2:18" s="1" customFormat="1" ht="6.95" customHeight="1" x14ac:dyDescent="0.25">
      <c r="B78" s="20"/>
      <c r="N78" s="87"/>
      <c r="O78" s="87"/>
      <c r="P78" s="87"/>
      <c r="Q78" s="87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301">
        <f>IF(O7="","",O7)</f>
        <v>45803</v>
      </c>
      <c r="N79" s="301"/>
      <c r="Q79" s="87"/>
      <c r="R79" s="21"/>
    </row>
    <row r="80" spans="2:18" s="1" customFormat="1" ht="6.95" customHeight="1" x14ac:dyDescent="0.25">
      <c r="B80" s="20"/>
      <c r="N80" s="87"/>
      <c r="O80" s="87"/>
      <c r="P80" s="87"/>
      <c r="Q80" s="87"/>
      <c r="R80" s="21"/>
    </row>
    <row r="81" spans="2:18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318" t="str">
        <f>E16</f>
        <v xml:space="preserve"> </v>
      </c>
      <c r="N81" s="295"/>
      <c r="O81" s="295"/>
      <c r="P81" s="295"/>
      <c r="Q81" s="295"/>
      <c r="R81" s="21"/>
    </row>
    <row r="82" spans="2:18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318" t="str">
        <f>E19</f>
        <v xml:space="preserve"> </v>
      </c>
      <c r="N82" s="295"/>
      <c r="O82" s="295"/>
      <c r="P82" s="295"/>
      <c r="Q82" s="295"/>
      <c r="R82" s="21"/>
    </row>
    <row r="83" spans="2:18" s="1" customFormat="1" ht="10.35" customHeight="1" x14ac:dyDescent="0.25">
      <c r="B83" s="20"/>
      <c r="N83" s="87"/>
      <c r="O83" s="87"/>
      <c r="P83" s="87"/>
      <c r="Q83" s="87"/>
      <c r="R83" s="21"/>
    </row>
    <row r="84" spans="2:18" s="1" customFormat="1" ht="29.25" customHeight="1" x14ac:dyDescent="0.25">
      <c r="B84" s="20"/>
      <c r="C84" s="357" t="s">
        <v>58</v>
      </c>
      <c r="D84" s="358"/>
      <c r="E84" s="358"/>
      <c r="F84" s="358"/>
      <c r="G84" s="358"/>
      <c r="H84" s="61"/>
      <c r="I84" s="61"/>
      <c r="J84" s="61"/>
      <c r="K84" s="61"/>
      <c r="L84" s="61"/>
      <c r="M84" s="61"/>
      <c r="N84" s="61"/>
      <c r="O84" s="359" t="s">
        <v>59</v>
      </c>
      <c r="P84" s="359"/>
      <c r="Q84" s="359"/>
      <c r="R84" s="21"/>
    </row>
    <row r="85" spans="2:18" s="1" customFormat="1" ht="10.35" customHeight="1" x14ac:dyDescent="0.25">
      <c r="B85" s="20"/>
      <c r="O85" s="115"/>
      <c r="Q85" s="87"/>
      <c r="R85" s="21"/>
    </row>
    <row r="86" spans="2:18" s="1" customFormat="1" ht="29.25" customHeight="1" x14ac:dyDescent="0.25">
      <c r="B86" s="20"/>
      <c r="C86" s="116" t="s">
        <v>60</v>
      </c>
      <c r="O86" s="306">
        <f>SUM(O87:Q87)</f>
        <v>0</v>
      </c>
      <c r="P86" s="306"/>
      <c r="Q86" s="306"/>
      <c r="R86" s="21"/>
    </row>
    <row r="87" spans="2:18" s="6" customFormat="1" ht="19.899999999999999" customHeight="1" x14ac:dyDescent="0.25">
      <c r="B87" s="64"/>
      <c r="D87" s="117" t="s">
        <v>90</v>
      </c>
      <c r="O87" s="350">
        <f>M110</f>
        <v>0</v>
      </c>
      <c r="P87" s="350"/>
      <c r="Q87" s="350"/>
      <c r="R87" s="118"/>
    </row>
    <row r="88" spans="2:18" s="77" customFormat="1" ht="7.5" x14ac:dyDescent="0.25">
      <c r="B88" s="78"/>
      <c r="O88" s="134"/>
      <c r="Q88" s="94"/>
      <c r="R88" s="104"/>
    </row>
    <row r="89" spans="2:18" s="1" customFormat="1" ht="29.25" customHeight="1" x14ac:dyDescent="0.25">
      <c r="B89" s="20"/>
      <c r="C89" s="116" t="s">
        <v>65</v>
      </c>
      <c r="O89" s="351">
        <v>0</v>
      </c>
      <c r="P89" s="351"/>
      <c r="Q89" s="351"/>
      <c r="R89" s="21"/>
    </row>
    <row r="90" spans="2:18" s="77" customFormat="1" ht="7.5" x14ac:dyDescent="0.25">
      <c r="B90" s="78"/>
      <c r="O90" s="134"/>
      <c r="Q90" s="94"/>
      <c r="R90" s="104"/>
    </row>
    <row r="91" spans="2:18" s="1" customFormat="1" ht="29.25" customHeight="1" x14ac:dyDescent="0.25">
      <c r="B91" s="20"/>
      <c r="C91" s="60" t="s">
        <v>53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352">
        <f>ROUND(SUM(O86+O89),2)</f>
        <v>0</v>
      </c>
      <c r="P91" s="352"/>
      <c r="Q91" s="352"/>
      <c r="R91" s="21"/>
    </row>
    <row r="92" spans="2:18" s="1" customFormat="1" ht="6.95" customHeight="1" x14ac:dyDescent="0.25"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92"/>
      <c r="O92" s="92"/>
      <c r="P92" s="92"/>
      <c r="Q92" s="92"/>
      <c r="R92" s="42"/>
    </row>
    <row r="96" spans="2:18" s="1" customFormat="1" x14ac:dyDescent="0.2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93"/>
      <c r="O96" s="93"/>
      <c r="P96" s="93"/>
      <c r="Q96" s="93"/>
      <c r="R96" s="45"/>
    </row>
    <row r="97" spans="1:22" s="1" customFormat="1" ht="21" x14ac:dyDescent="0.25">
      <c r="B97" s="20"/>
      <c r="C97" s="294" t="s">
        <v>66</v>
      </c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1"/>
    </row>
    <row r="98" spans="1:22" s="77" customFormat="1" ht="7.5" x14ac:dyDescent="0.25">
      <c r="B98" s="78"/>
      <c r="N98" s="94"/>
      <c r="O98" s="94"/>
      <c r="P98" s="94"/>
      <c r="Q98" s="94"/>
      <c r="R98" s="104"/>
    </row>
    <row r="99" spans="1:22" s="1" customFormat="1" ht="33" customHeight="1" x14ac:dyDescent="0.25">
      <c r="B99" s="20"/>
      <c r="C99" s="49" t="s">
        <v>7</v>
      </c>
      <c r="F99" s="302" t="str">
        <f>F5</f>
        <v>Oprava části asfaltového povrchu MK v ulici Na Ostrově v Chrudimi - ČÁST 1
DOČASNÝ SJEZD</v>
      </c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87"/>
      <c r="R99" s="21"/>
    </row>
    <row r="100" spans="1:22" s="77" customFormat="1" ht="7.5" x14ac:dyDescent="0.25">
      <c r="B100" s="78"/>
      <c r="N100" s="94"/>
      <c r="O100" s="94"/>
      <c r="P100" s="94"/>
      <c r="Q100" s="94"/>
      <c r="R100" s="104"/>
    </row>
    <row r="101" spans="1:22" s="1" customFormat="1" ht="15" x14ac:dyDescent="0.25">
      <c r="B101" s="20"/>
      <c r="C101" s="17" t="s">
        <v>13</v>
      </c>
      <c r="F101" s="15" t="str">
        <f>F7</f>
        <v>Chrudim</v>
      </c>
      <c r="K101" s="17" t="s">
        <v>15</v>
      </c>
      <c r="M101" s="349">
        <f>IF(O7="","",O7)</f>
        <v>45803</v>
      </c>
      <c r="N101" s="295"/>
      <c r="O101" s="295"/>
      <c r="P101" s="295"/>
      <c r="Q101" s="87"/>
      <c r="R101" s="21"/>
    </row>
    <row r="102" spans="1:22" s="77" customFormat="1" ht="7.5" x14ac:dyDescent="0.25">
      <c r="B102" s="78"/>
      <c r="N102" s="94"/>
      <c r="O102" s="94"/>
      <c r="P102" s="94"/>
      <c r="Q102" s="94"/>
      <c r="R102" s="104"/>
    </row>
    <row r="103" spans="1:22" s="1" customFormat="1" ht="15" x14ac:dyDescent="0.25">
      <c r="B103" s="20"/>
      <c r="C103" s="17" t="s">
        <v>18</v>
      </c>
      <c r="F103" s="15" t="str">
        <f>E10</f>
        <v xml:space="preserve"> </v>
      </c>
      <c r="K103" s="17" t="s">
        <v>23</v>
      </c>
      <c r="M103" s="318" t="str">
        <f>E16</f>
        <v xml:space="preserve"> </v>
      </c>
      <c r="N103" s="295"/>
      <c r="O103" s="295"/>
      <c r="P103" s="295"/>
      <c r="Q103" s="295"/>
      <c r="R103" s="21"/>
    </row>
    <row r="104" spans="1:22" s="1" customFormat="1" ht="15" x14ac:dyDescent="0.25">
      <c r="B104" s="20"/>
      <c r="C104" s="17" t="s">
        <v>22</v>
      </c>
      <c r="F104" s="15" t="str">
        <f>IF(E13="","",E13)</f>
        <v xml:space="preserve"> </v>
      </c>
      <c r="K104" s="17" t="s">
        <v>25</v>
      </c>
      <c r="M104" s="318" t="str">
        <f>E19</f>
        <v xml:space="preserve"> </v>
      </c>
      <c r="N104" s="295"/>
      <c r="O104" s="295"/>
      <c r="P104" s="295"/>
      <c r="Q104" s="295"/>
      <c r="R104" s="21"/>
    </row>
    <row r="105" spans="1:22" s="77" customFormat="1" ht="7.5" x14ac:dyDescent="0.25">
      <c r="B105" s="78"/>
      <c r="N105" s="94"/>
      <c r="O105" s="94"/>
      <c r="P105" s="94"/>
      <c r="Q105" s="94"/>
      <c r="R105" s="104"/>
    </row>
    <row r="106" spans="1:22" s="7" customFormat="1" ht="15" x14ac:dyDescent="0.25">
      <c r="B106" s="65"/>
      <c r="C106" s="347" t="s">
        <v>67</v>
      </c>
      <c r="D106" s="347" t="s">
        <v>68</v>
      </c>
      <c r="E106" s="347" t="s">
        <v>47</v>
      </c>
      <c r="F106" s="347" t="s">
        <v>69</v>
      </c>
      <c r="G106" s="347"/>
      <c r="H106" s="347"/>
      <c r="I106" s="347"/>
      <c r="J106" s="347" t="s">
        <v>70</v>
      </c>
      <c r="K106" s="347" t="s">
        <v>71</v>
      </c>
      <c r="L106" s="345" t="s">
        <v>79</v>
      </c>
      <c r="M106" s="346"/>
      <c r="N106" s="347" t="s">
        <v>80</v>
      </c>
      <c r="O106" s="347"/>
      <c r="P106" s="347" t="s">
        <v>81</v>
      </c>
      <c r="Q106" s="347"/>
      <c r="R106" s="66"/>
    </row>
    <row r="107" spans="1:22" s="7" customFormat="1" ht="15" x14ac:dyDescent="0.25">
      <c r="B107" s="65"/>
      <c r="C107" s="347"/>
      <c r="D107" s="347"/>
      <c r="E107" s="347"/>
      <c r="F107" s="347"/>
      <c r="G107" s="347"/>
      <c r="H107" s="347"/>
      <c r="I107" s="347"/>
      <c r="J107" s="347"/>
      <c r="K107" s="347"/>
      <c r="L107" s="76" t="s">
        <v>77</v>
      </c>
      <c r="M107" s="109" t="s">
        <v>78</v>
      </c>
      <c r="N107" s="76" t="s">
        <v>77</v>
      </c>
      <c r="O107" s="97" t="s">
        <v>78</v>
      </c>
      <c r="P107" s="76" t="s">
        <v>77</v>
      </c>
      <c r="Q107" s="97" t="s">
        <v>78</v>
      </c>
      <c r="R107" s="66"/>
      <c r="T107" s="274"/>
    </row>
    <row r="108" spans="1:22" s="179" customFormat="1" ht="7.5" x14ac:dyDescent="0.25">
      <c r="B108" s="180"/>
      <c r="M108" s="181"/>
      <c r="O108" s="182"/>
      <c r="Q108" s="182"/>
      <c r="R108" s="183"/>
    </row>
    <row r="109" spans="1:22" s="1" customFormat="1" ht="18" x14ac:dyDescent="0.35">
      <c r="B109" s="20"/>
      <c r="C109" s="53" t="s">
        <v>55</v>
      </c>
      <c r="D109" s="101"/>
      <c r="E109" s="101"/>
      <c r="F109" s="101"/>
      <c r="G109" s="101"/>
      <c r="H109" s="101"/>
      <c r="I109" s="101"/>
      <c r="J109" s="101"/>
      <c r="K109" s="101"/>
      <c r="L109" s="101"/>
      <c r="M109" s="110">
        <f>+M110</f>
        <v>0</v>
      </c>
      <c r="N109" s="101"/>
      <c r="O109" s="107">
        <v>0</v>
      </c>
      <c r="P109" s="108"/>
      <c r="Q109" s="107">
        <v>0</v>
      </c>
      <c r="R109" s="21"/>
      <c r="V109" s="87"/>
    </row>
    <row r="110" spans="1:22" s="138" customFormat="1" ht="15" x14ac:dyDescent="0.3">
      <c r="B110" s="139"/>
      <c r="D110" s="84" t="s">
        <v>224</v>
      </c>
      <c r="E110" s="84"/>
      <c r="F110" s="84"/>
      <c r="G110" s="84"/>
      <c r="H110" s="84"/>
      <c r="I110" s="84"/>
      <c r="J110" s="84"/>
      <c r="K110" s="140"/>
      <c r="L110" s="84"/>
      <c r="M110" s="111">
        <f>SUM(M111:M147)</f>
        <v>0</v>
      </c>
      <c r="O110" s="141">
        <f>SUM(O111:O147)</f>
        <v>0</v>
      </c>
      <c r="Q110" s="141">
        <f>SUM(Q111:Q147)</f>
        <v>0</v>
      </c>
      <c r="R110" s="142"/>
    </row>
    <row r="111" spans="1:22" s="1" customFormat="1" ht="25.5" customHeight="1" x14ac:dyDescent="0.3">
      <c r="A111" s="138"/>
      <c r="B111" s="143"/>
      <c r="C111" s="269">
        <v>1</v>
      </c>
      <c r="D111" s="269" t="s">
        <v>72</v>
      </c>
      <c r="E111" s="270" t="s">
        <v>200</v>
      </c>
      <c r="F111" s="363" t="s">
        <v>197</v>
      </c>
      <c r="G111" s="364"/>
      <c r="H111" s="364"/>
      <c r="I111" s="364"/>
      <c r="J111" s="271" t="s">
        <v>198</v>
      </c>
      <c r="K111" s="272">
        <f>K112</f>
        <v>12.45</v>
      </c>
      <c r="L111" s="273">
        <f>T111*$T$107</f>
        <v>0</v>
      </c>
      <c r="M111" s="112">
        <f t="shared" ref="M111" si="0">ROUND(L111*K111,2)</f>
        <v>0</v>
      </c>
      <c r="N111" s="79">
        <v>0</v>
      </c>
      <c r="O111" s="72">
        <f t="shared" ref="O111" si="1">N111*K111</f>
        <v>0</v>
      </c>
      <c r="P111" s="79">
        <v>0</v>
      </c>
      <c r="Q111" s="72">
        <f t="shared" ref="Q111" si="2">P111*K111</f>
        <v>0</v>
      </c>
      <c r="R111" s="145"/>
      <c r="T111" s="273"/>
    </row>
    <row r="112" spans="1:22" s="1" customFormat="1" x14ac:dyDescent="0.25">
      <c r="B112" s="68"/>
      <c r="C112" s="131"/>
      <c r="D112" s="131"/>
      <c r="F112" s="263" t="s">
        <v>199</v>
      </c>
      <c r="G112" s="264"/>
      <c r="H112" s="264"/>
      <c r="I112" s="264"/>
      <c r="J112" s="264"/>
      <c r="K112" s="137">
        <f>33*0.15+(3*12+1.5)*0.2</f>
        <v>12.45</v>
      </c>
      <c r="L112" s="69"/>
      <c r="M112" s="70"/>
      <c r="N112" s="67"/>
      <c r="O112" s="71"/>
      <c r="P112" s="67"/>
      <c r="Q112" s="71"/>
      <c r="R112" s="21"/>
      <c r="T112" s="69"/>
    </row>
    <row r="113" spans="1:20" s="1" customFormat="1" x14ac:dyDescent="0.3">
      <c r="A113" s="138"/>
      <c r="B113" s="143"/>
      <c r="C113" s="269">
        <v>2</v>
      </c>
      <c r="D113" s="269" t="s">
        <v>72</v>
      </c>
      <c r="E113" s="270" t="s">
        <v>201</v>
      </c>
      <c r="F113" s="363" t="s">
        <v>202</v>
      </c>
      <c r="G113" s="364"/>
      <c r="H113" s="364"/>
      <c r="I113" s="364"/>
      <c r="J113" s="271" t="s">
        <v>198</v>
      </c>
      <c r="K113" s="272">
        <f>K114</f>
        <v>6</v>
      </c>
      <c r="L113" s="273">
        <f>T113*$T$107</f>
        <v>0</v>
      </c>
      <c r="M113" s="112">
        <f t="shared" ref="M113" si="3">ROUND(L113*K113,2)</f>
        <v>0</v>
      </c>
      <c r="N113" s="79">
        <v>0</v>
      </c>
      <c r="O113" s="72">
        <f t="shared" ref="O113" si="4">N113*K113</f>
        <v>0</v>
      </c>
      <c r="P113" s="79">
        <v>0</v>
      </c>
      <c r="Q113" s="72">
        <f t="shared" ref="Q113" si="5">P113*K113</f>
        <v>0</v>
      </c>
      <c r="R113" s="145"/>
      <c r="T113" s="273"/>
    </row>
    <row r="114" spans="1:20" s="1" customFormat="1" x14ac:dyDescent="0.25">
      <c r="B114" s="68"/>
      <c r="C114" s="131"/>
      <c r="D114" s="131"/>
      <c r="F114" s="263" t="s">
        <v>203</v>
      </c>
      <c r="G114" s="264"/>
      <c r="H114" s="264"/>
      <c r="I114" s="264"/>
      <c r="J114" s="264"/>
      <c r="K114" s="137">
        <f>(3*12+1.5)*0.16</f>
        <v>6</v>
      </c>
      <c r="L114" s="69"/>
      <c r="M114" s="70"/>
      <c r="N114" s="67"/>
      <c r="O114" s="71"/>
      <c r="P114" s="67"/>
      <c r="Q114" s="71"/>
      <c r="R114" s="21"/>
      <c r="T114" s="69"/>
    </row>
    <row r="115" spans="1:20" s="1" customFormat="1" x14ac:dyDescent="0.3">
      <c r="A115" s="138"/>
      <c r="B115" s="143"/>
      <c r="C115" s="269">
        <v>3</v>
      </c>
      <c r="D115" s="269" t="s">
        <v>72</v>
      </c>
      <c r="E115" s="270" t="s">
        <v>204</v>
      </c>
      <c r="F115" s="363" t="s">
        <v>205</v>
      </c>
      <c r="G115" s="364"/>
      <c r="H115" s="364"/>
      <c r="I115" s="364"/>
      <c r="J115" s="271" t="s">
        <v>198</v>
      </c>
      <c r="K115" s="272">
        <f>K116</f>
        <v>9.9300000000000015</v>
      </c>
      <c r="L115" s="273">
        <f>T115*$T$107</f>
        <v>0</v>
      </c>
      <c r="M115" s="112">
        <f t="shared" ref="M115" si="6">ROUND(L115*K115,2)</f>
        <v>0</v>
      </c>
      <c r="N115" s="79">
        <v>0</v>
      </c>
      <c r="O115" s="72">
        <f t="shared" ref="O115" si="7">N115*K115</f>
        <v>0</v>
      </c>
      <c r="P115" s="79">
        <v>0</v>
      </c>
      <c r="Q115" s="72">
        <f t="shared" ref="Q115" si="8">P115*K115</f>
        <v>0</v>
      </c>
      <c r="R115" s="145"/>
      <c r="T115" s="273"/>
    </row>
    <row r="116" spans="1:20" s="1" customFormat="1" x14ac:dyDescent="0.25">
      <c r="B116" s="68"/>
      <c r="C116" s="131"/>
      <c r="D116" s="131"/>
      <c r="F116" s="263" t="s">
        <v>206</v>
      </c>
      <c r="G116" s="264"/>
      <c r="H116" s="264"/>
      <c r="I116" s="264"/>
      <c r="J116" s="264"/>
      <c r="K116" s="137">
        <f>(0.8*12)+(1.5*0.22)</f>
        <v>9.9300000000000015</v>
      </c>
      <c r="L116" s="69"/>
      <c r="M116" s="70"/>
      <c r="N116" s="67"/>
      <c r="O116" s="71"/>
      <c r="P116" s="67"/>
      <c r="Q116" s="71"/>
      <c r="R116" s="21"/>
      <c r="T116" s="69"/>
    </row>
    <row r="117" spans="1:20" s="1" customFormat="1" x14ac:dyDescent="0.3">
      <c r="A117" s="138"/>
      <c r="B117" s="143"/>
      <c r="C117" s="269">
        <v>4</v>
      </c>
      <c r="D117" s="269" t="s">
        <v>72</v>
      </c>
      <c r="E117" s="270" t="s">
        <v>207</v>
      </c>
      <c r="F117" s="363" t="s">
        <v>208</v>
      </c>
      <c r="G117" s="364"/>
      <c r="H117" s="364"/>
      <c r="I117" s="364"/>
      <c r="J117" s="271" t="s">
        <v>198</v>
      </c>
      <c r="K117" s="272">
        <f>K118</f>
        <v>9.9300000000000015</v>
      </c>
      <c r="L117" s="273">
        <f>T117*$T$107</f>
        <v>0</v>
      </c>
      <c r="M117" s="112">
        <f t="shared" ref="M117" si="9">ROUND(L117*K117,2)</f>
        <v>0</v>
      </c>
      <c r="N117" s="79">
        <v>0</v>
      </c>
      <c r="O117" s="72">
        <f t="shared" ref="O117" si="10">N117*K117</f>
        <v>0</v>
      </c>
      <c r="P117" s="79">
        <v>0</v>
      </c>
      <c r="Q117" s="72">
        <f t="shared" ref="Q117" si="11">P117*K117</f>
        <v>0</v>
      </c>
      <c r="R117" s="145"/>
      <c r="T117" s="273"/>
    </row>
    <row r="118" spans="1:20" s="1" customFormat="1" x14ac:dyDescent="0.25">
      <c r="B118" s="68"/>
      <c r="C118" s="131"/>
      <c r="D118" s="131"/>
      <c r="F118" s="263" t="s">
        <v>206</v>
      </c>
      <c r="G118" s="264"/>
      <c r="H118" s="264"/>
      <c r="I118" s="264"/>
      <c r="J118" s="264"/>
      <c r="K118" s="137">
        <f>(0.8*12)+(1.5*0.22)</f>
        <v>9.9300000000000015</v>
      </c>
      <c r="L118" s="69"/>
      <c r="M118" s="70"/>
      <c r="N118" s="67"/>
      <c r="O118" s="71"/>
      <c r="P118" s="67"/>
      <c r="Q118" s="71"/>
      <c r="R118" s="21"/>
      <c r="T118" s="69"/>
    </row>
    <row r="119" spans="1:20" s="1" customFormat="1" x14ac:dyDescent="0.3">
      <c r="A119" s="138"/>
      <c r="B119" s="143"/>
      <c r="C119" s="269">
        <v>5</v>
      </c>
      <c r="D119" s="269" t="s">
        <v>72</v>
      </c>
      <c r="E119" s="270" t="s">
        <v>209</v>
      </c>
      <c r="F119" s="363" t="s">
        <v>210</v>
      </c>
      <c r="G119" s="364"/>
      <c r="H119" s="364"/>
      <c r="I119" s="364"/>
      <c r="J119" s="271" t="s">
        <v>73</v>
      </c>
      <c r="K119" s="272">
        <f>SUM(K120:K123)</f>
        <v>162</v>
      </c>
      <c r="L119" s="273">
        <f>T119*$T$107</f>
        <v>0</v>
      </c>
      <c r="M119" s="112">
        <f t="shared" ref="M119" si="12">ROUND(L119*K119,2)</f>
        <v>0</v>
      </c>
      <c r="N119" s="79">
        <v>0</v>
      </c>
      <c r="O119" s="72">
        <f t="shared" ref="O119" si="13">N119*K119</f>
        <v>0</v>
      </c>
      <c r="P119" s="79">
        <v>0</v>
      </c>
      <c r="Q119" s="72">
        <f t="shared" ref="Q119" si="14">P119*K119</f>
        <v>0</v>
      </c>
      <c r="R119" s="145"/>
      <c r="T119" s="273"/>
    </row>
    <row r="120" spans="1:20" s="1" customFormat="1" x14ac:dyDescent="0.25">
      <c r="B120" s="68"/>
      <c r="C120" s="131"/>
      <c r="D120" s="131"/>
      <c r="E120" s="1" t="s">
        <v>211</v>
      </c>
      <c r="F120" s="263" t="s">
        <v>215</v>
      </c>
      <c r="G120" s="264"/>
      <c r="H120" s="264"/>
      <c r="I120" s="264"/>
      <c r="J120" s="264"/>
      <c r="K120" s="137">
        <f>(3.5*12)+1.5</f>
        <v>43.5</v>
      </c>
      <c r="L120" s="69"/>
      <c r="M120" s="70"/>
      <c r="N120" s="67"/>
      <c r="O120" s="71"/>
      <c r="P120" s="67"/>
      <c r="Q120" s="71"/>
      <c r="R120" s="21"/>
      <c r="T120" s="69"/>
    </row>
    <row r="121" spans="1:20" s="1" customFormat="1" x14ac:dyDescent="0.25">
      <c r="B121" s="68"/>
      <c r="C121" s="131"/>
      <c r="D121" s="131"/>
      <c r="E121" s="1" t="s">
        <v>212</v>
      </c>
      <c r="F121" s="263" t="s">
        <v>215</v>
      </c>
      <c r="G121" s="264"/>
      <c r="H121" s="264"/>
      <c r="I121" s="264"/>
      <c r="J121" s="264"/>
      <c r="K121" s="137">
        <f>(3.5*12)+1.5</f>
        <v>43.5</v>
      </c>
      <c r="L121" s="69"/>
      <c r="M121" s="70"/>
      <c r="N121" s="67"/>
      <c r="O121" s="71"/>
      <c r="P121" s="67"/>
      <c r="Q121" s="71"/>
      <c r="R121" s="21"/>
      <c r="T121" s="69"/>
    </row>
    <row r="122" spans="1:20" s="1" customFormat="1" x14ac:dyDescent="0.25">
      <c r="B122" s="68"/>
      <c r="C122" s="131"/>
      <c r="D122" s="131"/>
      <c r="E122" s="1" t="s">
        <v>213</v>
      </c>
      <c r="F122" s="263" t="s">
        <v>216</v>
      </c>
      <c r="G122" s="264"/>
      <c r="H122" s="264"/>
      <c r="I122" s="264"/>
      <c r="J122" s="264"/>
      <c r="K122" s="137">
        <f>(3*12)+1.5</f>
        <v>37.5</v>
      </c>
      <c r="L122" s="69"/>
      <c r="M122" s="70"/>
      <c r="N122" s="67"/>
      <c r="O122" s="71"/>
      <c r="P122" s="67"/>
      <c r="Q122" s="71"/>
      <c r="R122" s="21"/>
      <c r="T122" s="69"/>
    </row>
    <row r="123" spans="1:20" s="1" customFormat="1" x14ac:dyDescent="0.25">
      <c r="B123" s="68"/>
      <c r="C123" s="131"/>
      <c r="D123" s="131"/>
      <c r="E123" s="265" t="s">
        <v>214</v>
      </c>
      <c r="F123" s="266" t="s">
        <v>216</v>
      </c>
      <c r="G123" s="267"/>
      <c r="H123" s="267"/>
      <c r="I123" s="267"/>
      <c r="J123" s="267"/>
      <c r="K123" s="268">
        <f>(3*12)+1.5</f>
        <v>37.5</v>
      </c>
      <c r="L123" s="203"/>
      <c r="M123" s="70"/>
      <c r="N123" s="67"/>
      <c r="O123" s="71"/>
      <c r="P123" s="67"/>
      <c r="Q123" s="71"/>
      <c r="R123" s="21"/>
      <c r="T123" s="203"/>
    </row>
    <row r="124" spans="1:20" s="1" customFormat="1" ht="29.25" customHeight="1" x14ac:dyDescent="0.3">
      <c r="A124" s="138"/>
      <c r="B124" s="143"/>
      <c r="C124" s="269">
        <v>6</v>
      </c>
      <c r="D124" s="269" t="s">
        <v>72</v>
      </c>
      <c r="E124" s="270" t="s">
        <v>217</v>
      </c>
      <c r="F124" s="363" t="s">
        <v>218</v>
      </c>
      <c r="G124" s="364"/>
      <c r="H124" s="364"/>
      <c r="I124" s="364"/>
      <c r="J124" s="271" t="s">
        <v>73</v>
      </c>
      <c r="K124" s="272">
        <f>K125</f>
        <v>37.5</v>
      </c>
      <c r="L124" s="273">
        <f>T124*$T$107</f>
        <v>0</v>
      </c>
      <c r="M124" s="112">
        <f t="shared" ref="M124" si="15">ROUND(L124*K124,2)</f>
        <v>0</v>
      </c>
      <c r="N124" s="79">
        <v>0</v>
      </c>
      <c r="O124" s="72">
        <f t="shared" ref="O124" si="16">N124*K124</f>
        <v>0</v>
      </c>
      <c r="P124" s="79">
        <v>0</v>
      </c>
      <c r="Q124" s="72">
        <f t="shared" ref="Q124" si="17">P124*K124</f>
        <v>0</v>
      </c>
      <c r="R124" s="145"/>
      <c r="T124" s="273"/>
    </row>
    <row r="125" spans="1:20" s="1" customFormat="1" x14ac:dyDescent="0.25">
      <c r="B125" s="68"/>
      <c r="C125" s="131"/>
      <c r="D125" s="131"/>
      <c r="F125" s="263" t="s">
        <v>220</v>
      </c>
      <c r="G125" s="264"/>
      <c r="H125" s="264"/>
      <c r="I125" s="264"/>
      <c r="J125" s="264"/>
      <c r="K125" s="137">
        <f>3*12+1.5</f>
        <v>37.5</v>
      </c>
      <c r="L125" s="69"/>
      <c r="M125" s="70"/>
      <c r="N125" s="67"/>
      <c r="O125" s="71"/>
      <c r="P125" s="67"/>
      <c r="Q125" s="71"/>
      <c r="R125" s="21"/>
      <c r="T125" s="69"/>
    </row>
    <row r="126" spans="1:20" s="1" customFormat="1" x14ac:dyDescent="0.3">
      <c r="A126" s="138"/>
      <c r="B126" s="143"/>
      <c r="C126" s="269">
        <v>7</v>
      </c>
      <c r="D126" s="269" t="s">
        <v>72</v>
      </c>
      <c r="E126" s="270" t="s">
        <v>221</v>
      </c>
      <c r="F126" s="363" t="s">
        <v>219</v>
      </c>
      <c r="G126" s="364"/>
      <c r="H126" s="364"/>
      <c r="I126" s="364"/>
      <c r="J126" s="271" t="s">
        <v>198</v>
      </c>
      <c r="K126" s="272">
        <f>K127</f>
        <v>37.5</v>
      </c>
      <c r="L126" s="273">
        <f>T126*$T$107</f>
        <v>0</v>
      </c>
      <c r="M126" s="112">
        <f t="shared" ref="M126" si="18">ROUND(L126*K126,2)</f>
        <v>0</v>
      </c>
      <c r="N126" s="79">
        <v>0</v>
      </c>
      <c r="O126" s="72">
        <f t="shared" ref="O126" si="19">N126*K126</f>
        <v>0</v>
      </c>
      <c r="P126" s="79">
        <v>0</v>
      </c>
      <c r="Q126" s="72">
        <f t="shared" ref="Q126" si="20">P126*K126</f>
        <v>0</v>
      </c>
      <c r="R126" s="145"/>
      <c r="T126" s="273"/>
    </row>
    <row r="127" spans="1:20" s="1" customFormat="1" x14ac:dyDescent="0.25">
      <c r="B127" s="68"/>
      <c r="C127" s="131"/>
      <c r="D127" s="131"/>
      <c r="F127" s="263" t="s">
        <v>220</v>
      </c>
      <c r="G127" s="264"/>
      <c r="H127" s="264"/>
      <c r="I127" s="264"/>
      <c r="J127" s="264"/>
      <c r="K127" s="137">
        <f>3*12+1.5</f>
        <v>37.5</v>
      </c>
      <c r="L127" s="69"/>
      <c r="M127" s="70"/>
      <c r="N127" s="67"/>
      <c r="O127" s="71"/>
      <c r="P127" s="67"/>
      <c r="Q127" s="71"/>
      <c r="R127" s="21"/>
      <c r="T127" s="69"/>
    </row>
    <row r="128" spans="1:20" s="1" customFormat="1" x14ac:dyDescent="0.3">
      <c r="A128" s="138"/>
      <c r="B128" s="143"/>
      <c r="C128" s="269">
        <v>8</v>
      </c>
      <c r="D128" s="269" t="s">
        <v>72</v>
      </c>
      <c r="E128" s="270" t="s">
        <v>222</v>
      </c>
      <c r="F128" s="363" t="s">
        <v>223</v>
      </c>
      <c r="G128" s="364"/>
      <c r="H128" s="364"/>
      <c r="I128" s="364"/>
      <c r="J128" s="271" t="s">
        <v>198</v>
      </c>
      <c r="K128" s="272">
        <f>K129</f>
        <v>37.5</v>
      </c>
      <c r="L128" s="273">
        <f>T128*$T$107</f>
        <v>0</v>
      </c>
      <c r="M128" s="112">
        <f t="shared" ref="M128" si="21">ROUND(L128*K128,2)</f>
        <v>0</v>
      </c>
      <c r="N128" s="79">
        <v>0</v>
      </c>
      <c r="O128" s="72">
        <f t="shared" ref="O128" si="22">N128*K128</f>
        <v>0</v>
      </c>
      <c r="P128" s="79">
        <v>0</v>
      </c>
      <c r="Q128" s="72">
        <f t="shared" ref="Q128" si="23">P128*K128</f>
        <v>0</v>
      </c>
      <c r="R128" s="145"/>
      <c r="T128" s="273"/>
    </row>
    <row r="129" spans="1:20" s="1" customFormat="1" x14ac:dyDescent="0.25">
      <c r="B129" s="68"/>
      <c r="C129" s="131"/>
      <c r="D129" s="131"/>
      <c r="F129" s="263" t="s">
        <v>220</v>
      </c>
      <c r="G129" s="264"/>
      <c r="H129" s="264"/>
      <c r="I129" s="264"/>
      <c r="J129" s="264"/>
      <c r="K129" s="137">
        <f>3*12+1.5</f>
        <v>37.5</v>
      </c>
      <c r="L129" s="69"/>
      <c r="M129" s="70"/>
      <c r="N129" s="67"/>
      <c r="O129" s="71"/>
      <c r="P129" s="67"/>
      <c r="Q129" s="71"/>
      <c r="R129" s="21"/>
      <c r="T129" s="69"/>
    </row>
    <row r="130" spans="1:20" s="1" customFormat="1" x14ac:dyDescent="0.3">
      <c r="A130" s="138"/>
      <c r="B130" s="143"/>
      <c r="C130" s="269">
        <v>9</v>
      </c>
      <c r="D130" s="269" t="s">
        <v>72</v>
      </c>
      <c r="E130" s="270" t="s">
        <v>225</v>
      </c>
      <c r="F130" s="363" t="s">
        <v>226</v>
      </c>
      <c r="G130" s="364"/>
      <c r="H130" s="364"/>
      <c r="I130" s="364"/>
      <c r="J130" s="271" t="s">
        <v>73</v>
      </c>
      <c r="K130" s="272">
        <f>K131</f>
        <v>9.9</v>
      </c>
      <c r="L130" s="273">
        <f>T130*$T$107</f>
        <v>0</v>
      </c>
      <c r="M130" s="112">
        <f t="shared" ref="M130" si="24">ROUND(L130*K130,2)</f>
        <v>0</v>
      </c>
      <c r="N130" s="79">
        <v>0</v>
      </c>
      <c r="O130" s="72">
        <f t="shared" ref="O130" si="25">N130*K130</f>
        <v>0</v>
      </c>
      <c r="P130" s="79">
        <v>0</v>
      </c>
      <c r="Q130" s="72">
        <f t="shared" ref="Q130" si="26">P130*K130</f>
        <v>0</v>
      </c>
      <c r="R130" s="145"/>
      <c r="T130" s="273"/>
    </row>
    <row r="131" spans="1:20" s="1" customFormat="1" x14ac:dyDescent="0.25">
      <c r="B131" s="68"/>
      <c r="C131" s="131"/>
      <c r="D131" s="131"/>
      <c r="F131" s="263" t="s">
        <v>227</v>
      </c>
      <c r="G131" s="264"/>
      <c r="H131" s="264"/>
      <c r="I131" s="264"/>
      <c r="J131" s="264"/>
      <c r="K131" s="137">
        <f>33*0.3</f>
        <v>9.9</v>
      </c>
      <c r="L131" s="69"/>
      <c r="M131" s="70"/>
      <c r="N131" s="67"/>
      <c r="O131" s="71"/>
      <c r="P131" s="67"/>
      <c r="Q131" s="71"/>
      <c r="R131" s="21"/>
      <c r="T131" s="69"/>
    </row>
    <row r="132" spans="1:20" s="1" customFormat="1" x14ac:dyDescent="0.3">
      <c r="A132" s="138"/>
      <c r="B132" s="143"/>
      <c r="C132" s="269">
        <v>10</v>
      </c>
      <c r="D132" s="269" t="s">
        <v>72</v>
      </c>
      <c r="E132" s="270" t="s">
        <v>228</v>
      </c>
      <c r="F132" s="363" t="s">
        <v>229</v>
      </c>
      <c r="G132" s="364"/>
      <c r="H132" s="364"/>
      <c r="I132" s="364"/>
      <c r="J132" s="271" t="s">
        <v>73</v>
      </c>
      <c r="K132" s="272">
        <f>K133</f>
        <v>3.5</v>
      </c>
      <c r="L132" s="273">
        <f>T132*$T$107</f>
        <v>0</v>
      </c>
      <c r="M132" s="112">
        <f t="shared" ref="M132" si="27">ROUND(L132*K132,2)</f>
        <v>0</v>
      </c>
      <c r="N132" s="79">
        <v>0</v>
      </c>
      <c r="O132" s="72">
        <f t="shared" ref="O132" si="28">N132*K132</f>
        <v>0</v>
      </c>
      <c r="P132" s="79">
        <v>0</v>
      </c>
      <c r="Q132" s="72">
        <f t="shared" ref="Q132" si="29">P132*K132</f>
        <v>0</v>
      </c>
      <c r="R132" s="145"/>
      <c r="T132" s="273"/>
    </row>
    <row r="133" spans="1:20" s="1" customFormat="1" x14ac:dyDescent="0.25">
      <c r="B133" s="68"/>
      <c r="C133" s="131"/>
      <c r="D133" s="131"/>
      <c r="F133" s="263" t="s">
        <v>230</v>
      </c>
      <c r="G133" s="264"/>
      <c r="H133" s="264"/>
      <c r="I133" s="264"/>
      <c r="J133" s="264"/>
      <c r="K133" s="137">
        <v>3.5</v>
      </c>
      <c r="L133" s="69"/>
      <c r="M133" s="70"/>
      <c r="N133" s="67"/>
      <c r="O133" s="71"/>
      <c r="P133" s="67"/>
      <c r="Q133" s="71"/>
      <c r="R133" s="21"/>
      <c r="T133" s="69"/>
    </row>
    <row r="134" spans="1:20" s="1" customFormat="1" x14ac:dyDescent="0.3">
      <c r="A134" s="138"/>
      <c r="B134" s="143"/>
      <c r="C134" s="269">
        <v>11</v>
      </c>
      <c r="D134" s="269" t="s">
        <v>72</v>
      </c>
      <c r="E134" s="270" t="s">
        <v>231</v>
      </c>
      <c r="F134" s="363" t="s">
        <v>232</v>
      </c>
      <c r="G134" s="364"/>
      <c r="H134" s="364"/>
      <c r="I134" s="364"/>
      <c r="J134" s="271" t="s">
        <v>73</v>
      </c>
      <c r="K134" s="272">
        <f>K135</f>
        <v>66</v>
      </c>
      <c r="L134" s="273">
        <f>T134*$T$107</f>
        <v>0</v>
      </c>
      <c r="M134" s="112">
        <f t="shared" ref="M134" si="30">ROUND(L134*K134,2)</f>
        <v>0</v>
      </c>
      <c r="N134" s="79">
        <v>0</v>
      </c>
      <c r="O134" s="72">
        <f t="shared" ref="O134" si="31">N134*K134</f>
        <v>0</v>
      </c>
      <c r="P134" s="79">
        <v>0</v>
      </c>
      <c r="Q134" s="72">
        <f t="shared" ref="Q134" si="32">P134*K134</f>
        <v>0</v>
      </c>
      <c r="R134" s="145"/>
      <c r="T134" s="273"/>
    </row>
    <row r="135" spans="1:20" s="1" customFormat="1" x14ac:dyDescent="0.25">
      <c r="B135" s="68"/>
      <c r="C135" s="131"/>
      <c r="D135" s="131"/>
      <c r="F135" s="263" t="s">
        <v>233</v>
      </c>
      <c r="G135" s="264"/>
      <c r="H135" s="264"/>
      <c r="I135" s="264"/>
      <c r="J135" s="264"/>
      <c r="K135" s="137">
        <f>33+29.5+3.5</f>
        <v>66</v>
      </c>
      <c r="L135" s="69"/>
      <c r="M135" s="70"/>
      <c r="N135" s="67"/>
      <c r="O135" s="71"/>
      <c r="P135" s="67"/>
      <c r="Q135" s="71"/>
      <c r="R135" s="21"/>
      <c r="T135" s="69"/>
    </row>
    <row r="136" spans="1:20" s="1" customFormat="1" x14ac:dyDescent="0.3">
      <c r="A136" s="138"/>
      <c r="B136" s="143"/>
      <c r="C136" s="269">
        <v>12</v>
      </c>
      <c r="D136" s="269" t="s">
        <v>72</v>
      </c>
      <c r="E136" s="270" t="s">
        <v>234</v>
      </c>
      <c r="F136" s="363" t="s">
        <v>235</v>
      </c>
      <c r="G136" s="364"/>
      <c r="H136" s="364"/>
      <c r="I136" s="364"/>
      <c r="J136" s="271" t="s">
        <v>113</v>
      </c>
      <c r="K136" s="272">
        <f>K137</f>
        <v>1</v>
      </c>
      <c r="L136" s="273"/>
      <c r="M136" s="112">
        <f t="shared" ref="M136" si="33">ROUND(L136*K136,2)</f>
        <v>0</v>
      </c>
      <c r="N136" s="79">
        <v>0</v>
      </c>
      <c r="O136" s="72">
        <f t="shared" ref="O136" si="34">N136*K136</f>
        <v>0</v>
      </c>
      <c r="P136" s="79">
        <v>0</v>
      </c>
      <c r="Q136" s="72">
        <f t="shared" ref="Q136" si="35">P136*K136</f>
        <v>0</v>
      </c>
      <c r="R136" s="145"/>
      <c r="T136" s="273"/>
    </row>
    <row r="137" spans="1:20" s="1" customFormat="1" x14ac:dyDescent="0.25">
      <c r="B137" s="68"/>
      <c r="C137" s="131"/>
      <c r="D137" s="131"/>
      <c r="F137" s="263" t="s">
        <v>12</v>
      </c>
      <c r="G137" s="264"/>
      <c r="H137" s="264"/>
      <c r="I137" s="264"/>
      <c r="J137" s="264"/>
      <c r="K137" s="137">
        <v>1</v>
      </c>
      <c r="L137" s="69"/>
      <c r="M137" s="70"/>
      <c r="N137" s="67"/>
      <c r="O137" s="71"/>
      <c r="P137" s="67"/>
      <c r="Q137" s="71"/>
      <c r="R137" s="21"/>
      <c r="T137" s="69"/>
    </row>
    <row r="138" spans="1:20" s="1" customFormat="1" ht="13.5" customHeight="1" x14ac:dyDescent="0.3">
      <c r="A138" s="138"/>
      <c r="B138" s="143"/>
      <c r="C138" s="269">
        <v>13</v>
      </c>
      <c r="D138" s="269" t="s">
        <v>72</v>
      </c>
      <c r="E138" s="270" t="s">
        <v>237</v>
      </c>
      <c r="F138" s="363" t="s">
        <v>236</v>
      </c>
      <c r="G138" s="364"/>
      <c r="H138" s="364"/>
      <c r="I138" s="364"/>
      <c r="J138" s="271" t="s">
        <v>113</v>
      </c>
      <c r="K138" s="272">
        <f>K139</f>
        <v>1</v>
      </c>
      <c r="L138" s="273"/>
      <c r="M138" s="112">
        <f t="shared" ref="M138" si="36">ROUND(L138*K138,2)</f>
        <v>0</v>
      </c>
      <c r="N138" s="79">
        <v>0</v>
      </c>
      <c r="O138" s="72">
        <f t="shared" ref="O138" si="37">N138*K138</f>
        <v>0</v>
      </c>
      <c r="P138" s="79">
        <v>0</v>
      </c>
      <c r="Q138" s="72">
        <f t="shared" ref="Q138" si="38">P138*K138</f>
        <v>0</v>
      </c>
      <c r="R138" s="145"/>
      <c r="T138" s="273"/>
    </row>
    <row r="139" spans="1:20" s="1" customFormat="1" x14ac:dyDescent="0.25">
      <c r="B139" s="68"/>
      <c r="C139" s="131"/>
      <c r="D139" s="131"/>
      <c r="F139" s="263" t="s">
        <v>12</v>
      </c>
      <c r="G139" s="264"/>
      <c r="H139" s="264"/>
      <c r="I139" s="264"/>
      <c r="J139" s="264"/>
      <c r="K139" s="137">
        <v>1</v>
      </c>
      <c r="L139" s="69"/>
      <c r="M139" s="70"/>
      <c r="N139" s="67"/>
      <c r="O139" s="71"/>
      <c r="P139" s="67"/>
      <c r="Q139" s="71"/>
      <c r="R139" s="21"/>
      <c r="T139" s="69"/>
    </row>
    <row r="140" spans="1:20" s="1" customFormat="1" ht="24.75" customHeight="1" x14ac:dyDescent="0.3">
      <c r="A140" s="138"/>
      <c r="B140" s="143"/>
      <c r="C140" s="269">
        <v>14</v>
      </c>
      <c r="D140" s="269" t="s">
        <v>72</v>
      </c>
      <c r="E140" s="270" t="s">
        <v>238</v>
      </c>
      <c r="F140" s="363" t="s">
        <v>239</v>
      </c>
      <c r="G140" s="364"/>
      <c r="H140" s="364"/>
      <c r="I140" s="364"/>
      <c r="J140" s="271" t="s">
        <v>73</v>
      </c>
      <c r="K140" s="272">
        <f>K141</f>
        <v>3</v>
      </c>
      <c r="L140" s="273"/>
      <c r="M140" s="112">
        <f t="shared" ref="M140" si="39">ROUND(L140*K140,2)</f>
        <v>0</v>
      </c>
      <c r="N140" s="79">
        <v>0</v>
      </c>
      <c r="O140" s="72">
        <f t="shared" ref="O140" si="40">N140*K140</f>
        <v>0</v>
      </c>
      <c r="P140" s="79">
        <v>0</v>
      </c>
      <c r="Q140" s="72">
        <f t="shared" ref="Q140" si="41">P140*K140</f>
        <v>0</v>
      </c>
      <c r="R140" s="145"/>
      <c r="T140" s="273"/>
    </row>
    <row r="141" spans="1:20" s="1" customFormat="1" x14ac:dyDescent="0.25">
      <c r="B141" s="68"/>
      <c r="C141" s="131"/>
      <c r="D141" s="131"/>
      <c r="F141" s="263" t="s">
        <v>240</v>
      </c>
      <c r="G141" s="264"/>
      <c r="H141" s="264"/>
      <c r="I141" s="264"/>
      <c r="J141" s="264"/>
      <c r="K141" s="137">
        <f>0.25*12</f>
        <v>3</v>
      </c>
      <c r="L141" s="69"/>
      <c r="M141" s="70"/>
      <c r="N141" s="67"/>
      <c r="O141" s="71"/>
      <c r="P141" s="67"/>
      <c r="Q141" s="71"/>
      <c r="R141" s="21"/>
      <c r="T141" s="69"/>
    </row>
    <row r="142" spans="1:20" s="1" customFormat="1" ht="24.75" customHeight="1" x14ac:dyDescent="0.3">
      <c r="A142" s="138"/>
      <c r="B142" s="143"/>
      <c r="C142" s="269">
        <v>15</v>
      </c>
      <c r="D142" s="269" t="s">
        <v>72</v>
      </c>
      <c r="E142" s="270" t="s">
        <v>241</v>
      </c>
      <c r="F142" s="363" t="s">
        <v>242</v>
      </c>
      <c r="G142" s="364"/>
      <c r="H142" s="364"/>
      <c r="I142" s="364"/>
      <c r="J142" s="271" t="s">
        <v>73</v>
      </c>
      <c r="K142" s="272">
        <f>K143</f>
        <v>3</v>
      </c>
      <c r="L142" s="273"/>
      <c r="M142" s="112">
        <f t="shared" ref="M142" si="42">ROUND(L142*K142,2)</f>
        <v>0</v>
      </c>
      <c r="N142" s="79">
        <v>0</v>
      </c>
      <c r="O142" s="72">
        <f t="shared" ref="O142" si="43">N142*K142</f>
        <v>0</v>
      </c>
      <c r="P142" s="79">
        <v>0</v>
      </c>
      <c r="Q142" s="72">
        <f t="shared" ref="Q142" si="44">P142*K142</f>
        <v>0</v>
      </c>
      <c r="R142" s="145"/>
      <c r="T142" s="273"/>
    </row>
    <row r="143" spans="1:20" s="1" customFormat="1" x14ac:dyDescent="0.25">
      <c r="B143" s="68"/>
      <c r="C143" s="131"/>
      <c r="D143" s="131"/>
      <c r="F143" s="263" t="s">
        <v>240</v>
      </c>
      <c r="G143" s="264"/>
      <c r="H143" s="264"/>
      <c r="I143" s="264"/>
      <c r="J143" s="264"/>
      <c r="K143" s="137">
        <f>0.25*12</f>
        <v>3</v>
      </c>
      <c r="L143" s="69"/>
      <c r="M143" s="70"/>
      <c r="N143" s="67"/>
      <c r="O143" s="71"/>
      <c r="P143" s="67"/>
      <c r="Q143" s="71"/>
      <c r="R143" s="21"/>
      <c r="T143" s="69"/>
    </row>
    <row r="144" spans="1:20" s="1" customFormat="1" ht="24.75" customHeight="1" x14ac:dyDescent="0.3">
      <c r="A144" s="138"/>
      <c r="B144" s="143"/>
      <c r="C144" s="269">
        <v>16</v>
      </c>
      <c r="D144" s="269" t="s">
        <v>72</v>
      </c>
      <c r="E144" s="270" t="s">
        <v>243</v>
      </c>
      <c r="F144" s="363" t="s">
        <v>244</v>
      </c>
      <c r="G144" s="364"/>
      <c r="H144" s="364"/>
      <c r="I144" s="364"/>
      <c r="J144" s="271" t="s">
        <v>74</v>
      </c>
      <c r="K144" s="272">
        <f>K145</f>
        <v>2</v>
      </c>
      <c r="L144" s="273">
        <f>T144*$T$107</f>
        <v>0</v>
      </c>
      <c r="M144" s="112">
        <f t="shared" ref="M144" si="45">ROUND(L144*K144,2)</f>
        <v>0</v>
      </c>
      <c r="N144" s="79">
        <v>0</v>
      </c>
      <c r="O144" s="72">
        <f t="shared" ref="O144" si="46">N144*K144</f>
        <v>0</v>
      </c>
      <c r="P144" s="79">
        <v>0</v>
      </c>
      <c r="Q144" s="72">
        <f t="shared" ref="Q144" si="47">P144*K144</f>
        <v>0</v>
      </c>
      <c r="R144" s="145"/>
      <c r="T144" s="273"/>
    </row>
    <row r="145" spans="1:20" s="1" customFormat="1" x14ac:dyDescent="0.25">
      <c r="B145" s="68"/>
      <c r="C145" s="131"/>
      <c r="D145" s="131"/>
      <c r="F145" s="263" t="s">
        <v>245</v>
      </c>
      <c r="G145" s="264"/>
      <c r="H145" s="264"/>
      <c r="I145" s="264"/>
      <c r="J145" s="264"/>
      <c r="K145" s="137">
        <v>2</v>
      </c>
      <c r="L145" s="69"/>
      <c r="M145" s="70"/>
      <c r="N145" s="67"/>
      <c r="O145" s="71"/>
      <c r="P145" s="67"/>
      <c r="Q145" s="71"/>
      <c r="R145" s="21"/>
      <c r="T145" s="69"/>
    </row>
    <row r="146" spans="1:20" s="1" customFormat="1" ht="27.75" customHeight="1" x14ac:dyDescent="0.3">
      <c r="A146" s="138"/>
      <c r="B146" s="143"/>
      <c r="C146" s="269">
        <v>17</v>
      </c>
      <c r="D146" s="269" t="s">
        <v>72</v>
      </c>
      <c r="E146" s="270" t="s">
        <v>246</v>
      </c>
      <c r="F146" s="363" t="s">
        <v>247</v>
      </c>
      <c r="G146" s="364"/>
      <c r="H146" s="364"/>
      <c r="I146" s="364"/>
      <c r="J146" s="271" t="s">
        <v>74</v>
      </c>
      <c r="K146" s="272">
        <f>K147</f>
        <v>24</v>
      </c>
      <c r="L146" s="273">
        <f>T146*$T$107</f>
        <v>0</v>
      </c>
      <c r="M146" s="112">
        <f t="shared" ref="M146" si="48">ROUND(L146*K146,2)</f>
        <v>0</v>
      </c>
      <c r="N146" s="79">
        <v>0</v>
      </c>
      <c r="O146" s="72">
        <f t="shared" ref="O146" si="49">N146*K146</f>
        <v>0</v>
      </c>
      <c r="P146" s="79">
        <v>0</v>
      </c>
      <c r="Q146" s="72">
        <f t="shared" ref="Q146" si="50">P146*K146</f>
        <v>0</v>
      </c>
      <c r="R146" s="145"/>
      <c r="T146" s="273"/>
    </row>
    <row r="147" spans="1:20" s="1" customFormat="1" x14ac:dyDescent="0.25">
      <c r="B147" s="68"/>
      <c r="C147" s="131"/>
      <c r="D147" s="131"/>
      <c r="F147" s="263" t="s">
        <v>248</v>
      </c>
      <c r="G147" s="264"/>
      <c r="H147" s="264"/>
      <c r="I147" s="264"/>
      <c r="J147" s="264"/>
      <c r="K147" s="137">
        <f>12+12</f>
        <v>24</v>
      </c>
      <c r="L147" s="69"/>
      <c r="M147" s="70"/>
      <c r="N147" s="67"/>
      <c r="O147" s="71"/>
      <c r="P147" s="67"/>
      <c r="Q147" s="71"/>
      <c r="R147" s="21"/>
    </row>
    <row r="148" spans="1:20" s="77" customFormat="1" ht="7.5" x14ac:dyDescent="0.15">
      <c r="A148" s="213"/>
      <c r="B148" s="214"/>
      <c r="C148" s="215"/>
      <c r="D148" s="215"/>
      <c r="E148" s="216"/>
      <c r="F148" s="217"/>
      <c r="G148" s="217"/>
      <c r="H148" s="217"/>
      <c r="I148" s="217"/>
      <c r="J148" s="218"/>
      <c r="K148" s="219"/>
      <c r="L148" s="220"/>
      <c r="M148" s="94"/>
      <c r="N148" s="221"/>
      <c r="O148" s="134"/>
      <c r="P148" s="221"/>
      <c r="Q148" s="134"/>
      <c r="R148" s="104"/>
    </row>
    <row r="149" spans="1:20" s="1" customFormat="1" x14ac:dyDescent="0.3">
      <c r="A149" s="138"/>
      <c r="B149" s="68"/>
      <c r="C149" s="222" t="s">
        <v>137</v>
      </c>
      <c r="D149" s="131"/>
      <c r="E149" s="200"/>
      <c r="F149" s="201"/>
      <c r="G149" s="201"/>
      <c r="H149" s="201"/>
      <c r="I149" s="201"/>
      <c r="J149" s="202"/>
      <c r="K149" s="205"/>
      <c r="L149" s="69"/>
      <c r="M149" s="87"/>
      <c r="N149" s="156"/>
      <c r="O149" s="115"/>
      <c r="P149" s="156"/>
      <c r="Q149" s="115"/>
      <c r="R149" s="21"/>
    </row>
    <row r="150" spans="1:20" s="1" customFormat="1" x14ac:dyDescent="0.3">
      <c r="A150" s="138"/>
      <c r="B150" s="68"/>
      <c r="C150" s="323" t="s">
        <v>249</v>
      </c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21"/>
    </row>
    <row r="151" spans="1:20" s="1" customFormat="1" ht="6.95" customHeight="1" x14ac:dyDescent="0.25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92"/>
      <c r="O151" s="92"/>
      <c r="P151" s="92"/>
      <c r="Q151" s="92"/>
      <c r="R151" s="42"/>
    </row>
  </sheetData>
  <mergeCells count="70">
    <mergeCell ref="F132:I132"/>
    <mergeCell ref="F134:I134"/>
    <mergeCell ref="F136:I136"/>
    <mergeCell ref="F115:I115"/>
    <mergeCell ref="F113:I113"/>
    <mergeCell ref="F117:I117"/>
    <mergeCell ref="F124:I124"/>
    <mergeCell ref="F126:I126"/>
    <mergeCell ref="O19:P19"/>
    <mergeCell ref="H33:J33"/>
    <mergeCell ref="M33:P33"/>
    <mergeCell ref="M81:Q81"/>
    <mergeCell ref="M82:Q82"/>
    <mergeCell ref="C1:Q1"/>
    <mergeCell ref="C3:Q3"/>
    <mergeCell ref="F5:P5"/>
    <mergeCell ref="O7:P7"/>
    <mergeCell ref="O9:P9"/>
    <mergeCell ref="O10:P10"/>
    <mergeCell ref="H31:J31"/>
    <mergeCell ref="M31:P31"/>
    <mergeCell ref="H32:J32"/>
    <mergeCell ref="M32:P32"/>
    <mergeCell ref="E22:L22"/>
    <mergeCell ref="M25:P25"/>
    <mergeCell ref="M26:P26"/>
    <mergeCell ref="M28:P28"/>
    <mergeCell ref="H30:J30"/>
    <mergeCell ref="M30:P30"/>
    <mergeCell ref="O12:P12"/>
    <mergeCell ref="O13:P13"/>
    <mergeCell ref="O15:P15"/>
    <mergeCell ref="O16:P16"/>
    <mergeCell ref="O18:P18"/>
    <mergeCell ref="H34:J34"/>
    <mergeCell ref="M34:P34"/>
    <mergeCell ref="L36:P36"/>
    <mergeCell ref="C75:Q75"/>
    <mergeCell ref="F77:P77"/>
    <mergeCell ref="M79:N79"/>
    <mergeCell ref="O91:Q91"/>
    <mergeCell ref="C97:Q97"/>
    <mergeCell ref="F99:P99"/>
    <mergeCell ref="M101:P101"/>
    <mergeCell ref="C84:G84"/>
    <mergeCell ref="O84:Q84"/>
    <mergeCell ref="O86:Q86"/>
    <mergeCell ref="M103:Q103"/>
    <mergeCell ref="M104:Q104"/>
    <mergeCell ref="O87:Q87"/>
    <mergeCell ref="O89:Q89"/>
    <mergeCell ref="L106:M106"/>
    <mergeCell ref="N106:O106"/>
    <mergeCell ref="P106:Q106"/>
    <mergeCell ref="K106:K107"/>
    <mergeCell ref="F144:I144"/>
    <mergeCell ref="F119:I119"/>
    <mergeCell ref="F146:I146"/>
    <mergeCell ref="C150:Q150"/>
    <mergeCell ref="F111:I111"/>
    <mergeCell ref="C106:C107"/>
    <mergeCell ref="D106:D107"/>
    <mergeCell ref="E106:E107"/>
    <mergeCell ref="F106:I107"/>
    <mergeCell ref="J106:J107"/>
    <mergeCell ref="F138:I138"/>
    <mergeCell ref="F140:I140"/>
    <mergeCell ref="F142:I142"/>
    <mergeCell ref="F128:I128"/>
    <mergeCell ref="F130:I130"/>
  </mergeCells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SO.100 - ČÁST 1</vt:lpstr>
      <vt:lpstr>SO.100 - ČÁST 1 - SJEZD</vt:lpstr>
      <vt:lpstr>'SO.100 - ČÁST 1'!Názvy_tisku</vt:lpstr>
      <vt:lpstr>'SO.100 - ČÁST 1 - SJEZD'!Názvy_tisku</vt:lpstr>
      <vt:lpstr>'Rekapitulace stavby'!Oblast_tisku</vt:lpstr>
      <vt:lpstr>'SO.100 - ČÁST 1'!Oblast_tisku</vt:lpstr>
      <vt:lpstr>'SO.100 - ČÁST 1 - SJEZD'!Oblast_tisku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Melnik Emil</cp:lastModifiedBy>
  <cp:lastPrinted>2025-05-26T08:29:01Z</cp:lastPrinted>
  <dcterms:created xsi:type="dcterms:W3CDTF">2019-04-04T10:47:39Z</dcterms:created>
  <dcterms:modified xsi:type="dcterms:W3CDTF">2025-05-26T13:39:31Z</dcterms:modified>
</cp:coreProperties>
</file>