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K:\------ USB (2024.08.11)\Projekty\556-12-2025 -HHH- PROJEKT - Město Chrudim - Chodník TOPOL - PROJEKT\"/>
    </mc:Choice>
  </mc:AlternateContent>
  <xr:revisionPtr revIDLastSave="0" documentId="13_ncr:1_{F67E9944-F0D5-4CEC-B67E-093DEA02E44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kapitulace stavby" sheetId="1" r:id="rId1"/>
    <sheet name="IO.101 - Chodník" sheetId="6" r:id="rId2"/>
    <sheet name="VRN" sheetId="7" r:id="rId3"/>
  </sheets>
  <definedNames>
    <definedName name="_xlnm.Print_Titles" localSheetId="1">'IO.101 - Chodník'!$114:$116</definedName>
    <definedName name="_xlnm.Print_Titles" localSheetId="2">VRN!$109:$111</definedName>
    <definedName name="_xlnm.Print_Area" localSheetId="1">'IO.101 - Chodník'!$C$3:$Q$70,'IO.101 - Chodník'!$C$76:$Q$98,'IO.101 - Chodník'!$C$104:$Q$276</definedName>
    <definedName name="_xlnm.Print_Area" localSheetId="0">'Rekapitulace stavby'!$C$3:$AP$68,'Rekapitulace stavby'!$C$75:$AP$92</definedName>
    <definedName name="_xlnm.Print_Area" localSheetId="2">VRN!$C$3:$Q$70,VRN!$C$76:$Q$93,VRN!$C$99:$Q$121</definedName>
  </definedNames>
  <calcPr calcId="191029"/>
</workbook>
</file>

<file path=xl/calcChain.xml><?xml version="1.0" encoding="utf-8"?>
<calcChain xmlns="http://schemas.openxmlformats.org/spreadsheetml/2006/main">
  <c r="K169" i="6" l="1"/>
  <c r="K172" i="6" s="1"/>
  <c r="K156" i="6"/>
  <c r="M156" i="6" s="1"/>
  <c r="K131" i="6"/>
  <c r="O131" i="6" s="1"/>
  <c r="K133" i="6"/>
  <c r="K135" i="6"/>
  <c r="K230" i="6"/>
  <c r="K141" i="6"/>
  <c r="K144" i="6"/>
  <c r="K120" i="6"/>
  <c r="K184" i="6"/>
  <c r="K181" i="6" s="1"/>
  <c r="O181" i="6" s="1"/>
  <c r="K179" i="6"/>
  <c r="K180" i="6" s="1"/>
  <c r="K178" i="6" s="1"/>
  <c r="Q156" i="6"/>
  <c r="K204" i="6"/>
  <c r="K201" i="6" s="1"/>
  <c r="K219" i="6"/>
  <c r="K210" i="6"/>
  <c r="K227" i="6"/>
  <c r="K216" i="6"/>
  <c r="K213" i="6"/>
  <c r="K225" i="6"/>
  <c r="K221" i="6" s="1"/>
  <c r="K236" i="6"/>
  <c r="K240" i="6" s="1"/>
  <c r="K262" i="6"/>
  <c r="K237" i="6"/>
  <c r="K239" i="6"/>
  <c r="N143" i="6"/>
  <c r="I87" i="1"/>
  <c r="M131" i="6" l="1"/>
  <c r="Q131" i="6"/>
  <c r="Q181" i="6"/>
  <c r="M181" i="6"/>
  <c r="K182" i="6"/>
  <c r="K177" i="6"/>
  <c r="K176" i="6"/>
  <c r="K174" i="6"/>
  <c r="O156" i="6"/>
  <c r="K197" i="6"/>
  <c r="K198" i="6" s="1"/>
  <c r="Q198" i="6" s="1"/>
  <c r="M201" i="6"/>
  <c r="Q201" i="6"/>
  <c r="O201" i="6"/>
  <c r="K199" i="6"/>
  <c r="K200" i="6"/>
  <c r="K202" i="6"/>
  <c r="K148" i="6"/>
  <c r="K123" i="6"/>
  <c r="K124" i="6" s="1"/>
  <c r="K122" i="6" s="1"/>
  <c r="K129" i="6"/>
  <c r="K127" i="6"/>
  <c r="K125" i="6" s="1"/>
  <c r="M125" i="6" s="1"/>
  <c r="K121" i="6"/>
  <c r="K119" i="6" s="1"/>
  <c r="K136" i="6"/>
  <c r="K134" i="6" s="1"/>
  <c r="O134" i="6" s="1"/>
  <c r="K145" i="6"/>
  <c r="K143" i="6" s="1"/>
  <c r="M143" i="6" s="1"/>
  <c r="K139" i="6"/>
  <c r="K137" i="6" s="1"/>
  <c r="M197" i="6" l="1"/>
  <c r="O182" i="6"/>
  <c r="M182" i="6"/>
  <c r="Q182" i="6"/>
  <c r="Q174" i="6"/>
  <c r="O174" i="6"/>
  <c r="M174" i="6"/>
  <c r="K175" i="6"/>
  <c r="Q197" i="6"/>
  <c r="O197" i="6"/>
  <c r="M198" i="6"/>
  <c r="O198" i="6"/>
  <c r="Q202" i="6"/>
  <c r="O202" i="6"/>
  <c r="M202" i="6"/>
  <c r="Q200" i="6"/>
  <c r="O200" i="6"/>
  <c r="M200" i="6"/>
  <c r="Q199" i="6"/>
  <c r="O199" i="6"/>
  <c r="M199" i="6"/>
  <c r="Q122" i="6"/>
  <c r="O122" i="6"/>
  <c r="M122" i="6"/>
  <c r="O125" i="6"/>
  <c r="Q125" i="6"/>
  <c r="M134" i="6"/>
  <c r="Q134" i="6"/>
  <c r="K266" i="6" s="1"/>
  <c r="O143" i="6"/>
  <c r="Q143" i="6"/>
  <c r="O137" i="6"/>
  <c r="M137" i="6"/>
  <c r="Q137" i="6"/>
  <c r="Q177" i="6" l="1"/>
  <c r="M177" i="6"/>
  <c r="O177" i="6"/>
  <c r="M176" i="6"/>
  <c r="O176" i="6"/>
  <c r="Q176" i="6"/>
  <c r="Q178" i="6"/>
  <c r="O178" i="6"/>
  <c r="M178" i="6"/>
  <c r="Q175" i="6"/>
  <c r="M175" i="6"/>
  <c r="O175" i="6"/>
  <c r="Q118" i="7"/>
  <c r="O118" i="7"/>
  <c r="M118" i="7"/>
  <c r="M173" i="6" l="1"/>
  <c r="O173" i="6"/>
  <c r="Q173" i="6"/>
  <c r="K187" i="6"/>
  <c r="K188" i="6" s="1"/>
  <c r="K189" i="6" s="1"/>
  <c r="K256" i="6" l="1"/>
  <c r="K254" i="6" l="1"/>
  <c r="K253" i="6"/>
  <c r="Q254" i="6"/>
  <c r="O254" i="6" l="1"/>
  <c r="M254" i="6"/>
  <c r="K191" i="6" l="1"/>
  <c r="K186" i="6" s="1"/>
  <c r="M186" i="6" s="1"/>
  <c r="K195" i="6"/>
  <c r="K193" i="6" l="1"/>
  <c r="Q193" i="6" s="1"/>
  <c r="K192" i="6"/>
  <c r="O192" i="6" s="1"/>
  <c r="Q188" i="6"/>
  <c r="Q186" i="6"/>
  <c r="O186" i="6"/>
  <c r="Q192" i="6" l="1"/>
  <c r="O189" i="6"/>
  <c r="O188" i="6"/>
  <c r="M193" i="6"/>
  <c r="O193" i="6"/>
  <c r="Q189" i="6"/>
  <c r="M188" i="6"/>
  <c r="M189" i="6"/>
  <c r="M192" i="6"/>
  <c r="K161" i="6"/>
  <c r="K166" i="6" s="1"/>
  <c r="Q187" i="6" l="1"/>
  <c r="M187" i="6"/>
  <c r="O187" i="6"/>
  <c r="O90" i="6" l="1"/>
  <c r="Q233" i="6" l="1"/>
  <c r="Q234" i="6" l="1"/>
  <c r="M234" i="6"/>
  <c r="O234" i="6"/>
  <c r="M233" i="6"/>
  <c r="O233" i="6"/>
  <c r="Q121" i="7" l="1"/>
  <c r="O121" i="7"/>
  <c r="M121" i="7"/>
  <c r="Q120" i="7"/>
  <c r="O120" i="7"/>
  <c r="M120" i="7"/>
  <c r="Q119" i="7"/>
  <c r="O119" i="7"/>
  <c r="M119" i="7"/>
  <c r="Q117" i="7"/>
  <c r="O117" i="7"/>
  <c r="M117" i="7"/>
  <c r="Q116" i="7"/>
  <c r="O116" i="7"/>
  <c r="M116" i="7"/>
  <c r="Q115" i="7"/>
  <c r="O115" i="7"/>
  <c r="M115" i="7"/>
  <c r="Q114" i="7"/>
  <c r="O114" i="7"/>
  <c r="M114" i="7"/>
  <c r="M107" i="7"/>
  <c r="F107" i="7"/>
  <c r="M106" i="7"/>
  <c r="F106" i="7"/>
  <c r="F102" i="7"/>
  <c r="C102" i="7"/>
  <c r="M84" i="7"/>
  <c r="F84" i="7"/>
  <c r="F79" i="7"/>
  <c r="H35" i="7"/>
  <c r="H34" i="7"/>
  <c r="H33" i="7"/>
  <c r="M27" i="7"/>
  <c r="O10" i="7"/>
  <c r="F10" i="7"/>
  <c r="F83" i="7" s="1"/>
  <c r="O8" i="7"/>
  <c r="M104" i="7" s="1"/>
  <c r="F8" i="7"/>
  <c r="F104" i="7" s="1"/>
  <c r="F5" i="7"/>
  <c r="K220" i="6"/>
  <c r="K218" i="6" s="1"/>
  <c r="K217" i="6"/>
  <c r="K215" i="6" s="1"/>
  <c r="K211" i="6"/>
  <c r="K206" i="6" s="1"/>
  <c r="O113" i="7" l="1"/>
  <c r="M112" i="7"/>
  <c r="O112" i="7"/>
  <c r="Q112" i="7"/>
  <c r="F81" i="7"/>
  <c r="M113" i="7"/>
  <c r="O89" i="7" s="1"/>
  <c r="M81" i="7"/>
  <c r="Q113" i="7"/>
  <c r="F101" i="7"/>
  <c r="F78" i="7"/>
  <c r="M218" i="6"/>
  <c r="O218" i="6"/>
  <c r="Q218" i="6"/>
  <c r="M215" i="6"/>
  <c r="Q215" i="6"/>
  <c r="O215" i="6"/>
  <c r="K214" i="6"/>
  <c r="K212" i="6" s="1"/>
  <c r="K205" i="6"/>
  <c r="K207" i="6"/>
  <c r="K142" i="6"/>
  <c r="K165" i="6" s="1"/>
  <c r="Q269" i="6"/>
  <c r="O269" i="6"/>
  <c r="Q263" i="6"/>
  <c r="O263" i="6"/>
  <c r="K258" i="6"/>
  <c r="K249" i="6"/>
  <c r="XER249" i="6" s="1"/>
  <c r="K246" i="6"/>
  <c r="K244" i="6" s="1"/>
  <c r="K243" i="6"/>
  <c r="K241" i="6" s="1"/>
  <c r="K168" i="6"/>
  <c r="K130" i="6"/>
  <c r="K128" i="6" s="1"/>
  <c r="Q128" i="6" s="1"/>
  <c r="K268" i="6" s="1"/>
  <c r="M112" i="6"/>
  <c r="F112" i="6"/>
  <c r="M111" i="6"/>
  <c r="F111" i="6"/>
  <c r="F107" i="6"/>
  <c r="C107" i="6"/>
  <c r="M84" i="6"/>
  <c r="F84" i="6"/>
  <c r="F79" i="6"/>
  <c r="H35" i="6"/>
  <c r="H34" i="6"/>
  <c r="H33" i="6"/>
  <c r="M27" i="6"/>
  <c r="O10" i="6"/>
  <c r="F10" i="6"/>
  <c r="F83" i="6" s="1"/>
  <c r="O8" i="6"/>
  <c r="M109" i="6" s="1"/>
  <c r="F8" i="6"/>
  <c r="F109" i="6" s="1"/>
  <c r="F5" i="6"/>
  <c r="F106" i="6" s="1"/>
  <c r="K167" i="6" l="1"/>
  <c r="M253" i="6"/>
  <c r="Q253" i="6"/>
  <c r="O253" i="6"/>
  <c r="K149" i="6"/>
  <c r="K153" i="6" s="1"/>
  <c r="K154" i="6" s="1"/>
  <c r="K157" i="6"/>
  <c r="Q157" i="6" s="1"/>
  <c r="K155" i="6"/>
  <c r="M221" i="6"/>
  <c r="M207" i="6"/>
  <c r="Q212" i="6"/>
  <c r="O212" i="6"/>
  <c r="M212" i="6"/>
  <c r="Q207" i="6"/>
  <c r="Q205" i="6"/>
  <c r="M206" i="6"/>
  <c r="O207" i="6"/>
  <c r="K247" i="6"/>
  <c r="Q247" i="6" s="1"/>
  <c r="M244" i="6"/>
  <c r="K228" i="6"/>
  <c r="K226" i="6" s="1"/>
  <c r="O226" i="6" s="1"/>
  <c r="K140" i="6"/>
  <c r="K252" i="6"/>
  <c r="K250" i="6" s="1"/>
  <c r="Q250" i="6" s="1"/>
  <c r="K158" i="6"/>
  <c r="M158" i="6" s="1"/>
  <c r="K231" i="6"/>
  <c r="K229" i="6" s="1"/>
  <c r="O229" i="6" s="1"/>
  <c r="K235" i="6"/>
  <c r="O235" i="6" s="1"/>
  <c r="M241" i="6"/>
  <c r="K222" i="6"/>
  <c r="Q222" i="6" s="1"/>
  <c r="Q241" i="6"/>
  <c r="O241" i="6"/>
  <c r="Q244" i="6"/>
  <c r="O244" i="6"/>
  <c r="M258" i="6"/>
  <c r="Q258" i="6"/>
  <c r="O258" i="6"/>
  <c r="O168" i="6"/>
  <c r="M168" i="6"/>
  <c r="Q168" i="6"/>
  <c r="F78" i="6"/>
  <c r="K259" i="6"/>
  <c r="F81" i="6"/>
  <c r="M81" i="6"/>
  <c r="M128" i="6"/>
  <c r="K257" i="6"/>
  <c r="O128" i="6"/>
  <c r="K162" i="6" l="1"/>
  <c r="K164" i="6" s="1"/>
  <c r="K163" i="6"/>
  <c r="M140" i="6"/>
  <c r="M268" i="6"/>
  <c r="Q164" i="6"/>
  <c r="M164" i="6"/>
  <c r="O164" i="6"/>
  <c r="Q163" i="6"/>
  <c r="M163" i="6"/>
  <c r="O163" i="6"/>
  <c r="Q162" i="6"/>
  <c r="M162" i="6"/>
  <c r="O162" i="6"/>
  <c r="K152" i="6"/>
  <c r="O157" i="6"/>
  <c r="M157" i="6"/>
  <c r="K146" i="6"/>
  <c r="Q146" i="6" s="1"/>
  <c r="M155" i="6"/>
  <c r="Q155" i="6"/>
  <c r="O155" i="6"/>
  <c r="O221" i="6"/>
  <c r="Q221" i="6"/>
  <c r="M205" i="6"/>
  <c r="Q206" i="6"/>
  <c r="O206" i="6"/>
  <c r="O205" i="6"/>
  <c r="O247" i="6"/>
  <c r="Q226" i="6"/>
  <c r="M247" i="6"/>
  <c r="M229" i="6"/>
  <c r="Q235" i="6"/>
  <c r="M226" i="6"/>
  <c r="M250" i="6"/>
  <c r="O250" i="6"/>
  <c r="O140" i="6"/>
  <c r="Q140" i="6"/>
  <c r="Q158" i="6"/>
  <c r="O222" i="6"/>
  <c r="Q229" i="6"/>
  <c r="O158" i="6"/>
  <c r="M222" i="6"/>
  <c r="M235" i="6"/>
  <c r="O119" i="6"/>
  <c r="Q119" i="6"/>
  <c r="M119" i="6"/>
  <c r="Q259" i="6"/>
  <c r="O259" i="6"/>
  <c r="M259" i="6"/>
  <c r="Q257" i="6"/>
  <c r="M257" i="6"/>
  <c r="O257" i="6"/>
  <c r="M185" i="6" l="1"/>
  <c r="K267" i="6"/>
  <c r="M267" i="6" s="1"/>
  <c r="K147" i="6"/>
  <c r="M147" i="6" s="1"/>
  <c r="M266" i="6"/>
  <c r="O146" i="6"/>
  <c r="M146" i="6"/>
  <c r="M232" i="6"/>
  <c r="O92" i="6" s="1"/>
  <c r="O232" i="6"/>
  <c r="Q232" i="6"/>
  <c r="K151" i="6"/>
  <c r="Q151" i="6" s="1"/>
  <c r="K150" i="6"/>
  <c r="Q150" i="6" s="1"/>
  <c r="M152" i="6"/>
  <c r="O152" i="6"/>
  <c r="Q152" i="6"/>
  <c r="O147" i="6" l="1"/>
  <c r="Q147" i="6"/>
  <c r="Q117" i="6" s="1"/>
  <c r="O185" i="6"/>
  <c r="O91" i="6"/>
  <c r="Q185" i="6"/>
  <c r="O88" i="7"/>
  <c r="M150" i="6"/>
  <c r="O150" i="6"/>
  <c r="K264" i="6"/>
  <c r="M264" i="6" s="1"/>
  <c r="O151" i="6"/>
  <c r="M151" i="6"/>
  <c r="O117" i="6" l="1"/>
  <c r="K270" i="6" s="1"/>
  <c r="M270" i="6" s="1"/>
  <c r="M118" i="6"/>
  <c r="O89" i="6" s="1"/>
  <c r="O118" i="6"/>
  <c r="Q118" i="6"/>
  <c r="O93" i="7"/>
  <c r="M26" i="7"/>
  <c r="M29" i="7" s="1"/>
  <c r="AJ88" i="1" s="1"/>
  <c r="K265" i="6"/>
  <c r="M265" i="6" s="1"/>
  <c r="M263" i="6" s="1"/>
  <c r="O93" i="6" s="1"/>
  <c r="M117" i="6" l="1"/>
  <c r="AN88" i="1"/>
  <c r="M269" i="6"/>
  <c r="O94" i="6" s="1"/>
  <c r="O88" i="6" s="1"/>
  <c r="H31" i="7"/>
  <c r="M31" i="7" s="1"/>
  <c r="L37" i="7" s="1"/>
  <c r="T88" i="6" l="1"/>
  <c r="M26" i="6"/>
  <c r="M29" i="6" s="1"/>
  <c r="O98" i="6"/>
  <c r="H31" i="6" l="1"/>
  <c r="M31" i="6" s="1"/>
  <c r="L37" i="6" s="1"/>
  <c r="AJ87" i="1"/>
  <c r="AN87" i="1" s="1"/>
  <c r="AK26" i="1" l="1"/>
  <c r="L77" i="1"/>
  <c r="L79" i="1"/>
  <c r="AM79" i="1"/>
  <c r="L81" i="1"/>
  <c r="AM81" i="1"/>
  <c r="L82" i="1"/>
  <c r="AM82" i="1"/>
  <c r="W34" i="1"/>
  <c r="W33" i="1"/>
  <c r="W32" i="1"/>
  <c r="AJ86" i="1" l="1"/>
  <c r="AK25" i="1" l="1"/>
  <c r="AK28" i="1" s="1"/>
  <c r="W30" i="1" s="1"/>
  <c r="AK30" i="1" s="1"/>
  <c r="AK36" i="1" s="1"/>
  <c r="AG92" i="1"/>
  <c r="AN86" i="1"/>
  <c r="AN92" i="1" s="1"/>
</calcChain>
</file>

<file path=xl/sharedStrings.xml><?xml version="1.0" encoding="utf-8"?>
<sst xmlns="http://schemas.openxmlformats.org/spreadsheetml/2006/main" count="619" uniqueCount="256">
  <si>
    <t>False</t>
  </si>
  <si>
    <t>0,01</t>
  </si>
  <si>
    <t>15</t>
  </si>
  <si>
    <t>SOUHRNNÝ LIST STAVBY</t>
  </si>
  <si>
    <t>0,001</t>
  </si>
  <si>
    <t>Kód:</t>
  </si>
  <si>
    <t>Stavba:</t>
  </si>
  <si>
    <t>0,1</t>
  </si>
  <si>
    <t>JKSO:</t>
  </si>
  <si>
    <t/>
  </si>
  <si>
    <t>CC-CZ:</t>
  </si>
  <si>
    <t>1</t>
  </si>
  <si>
    <t>Místo:</t>
  </si>
  <si>
    <t>Datum:</t>
  </si>
  <si>
    <t>10</t>
  </si>
  <si>
    <t>100</t>
  </si>
  <si>
    <t>Objednatel:</t>
  </si>
  <si>
    <t>IČ:</t>
  </si>
  <si>
    <t xml:space="preserve"> 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</si>
  <si>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</si>
  <si>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</si>
  <si>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</si>
  <si>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</si>
  <si>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</si>
  <si>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</si>
  <si>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</si>
  <si>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</si>
  <si>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</si>
  <si>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</si>
  <si>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</si>
  <si>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</si>
  <si>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</si>
  <si>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</si>
  <si>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</si>
  <si>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</si>
  <si>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</si>
  <si>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</si>
  <si>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</si>
  <si>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</si>
  <si>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</si>
  <si>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</si>
  <si>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</si>
  <si>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</si>
  <si>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</si>
  <si>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</si>
  <si>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Kód</t>
  </si>
  <si>
    <t>Objekt</t>
  </si>
  <si>
    <t>Cena bez DPH [CZK]</t>
  </si>
  <si>
    <t>Cena s DPH [CZK]</t>
  </si>
  <si>
    <t>1) Náklady z rozpočtů</t>
  </si>
  <si>
    <t>D</t>
  </si>
  <si>
    <t>0</t>
  </si>
  <si>
    <t>IMPORT</t>
  </si>
  <si>
    <t>{f0fa886d-ca0f-4278-b478-77d57021ecba}</t>
  </si>
  <si>
    <t>{00000000-0000-0000-0000-000000000000}</t>
  </si>
  <si>
    <t>2) Ostatní náklady ze souhrnného listu</t>
  </si>
  <si>
    <t>Celkové náklady za stavbu 1) + 2)</t>
  </si>
  <si>
    <t>KRYCÍ LIST ROZPOČTU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</si>
  <si>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</si>
  <si>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</si>
  <si>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</si>
  <si>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</si>
  <si>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</si>
  <si>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</si>
  <si>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 xml:space="preserve">    1 - Zemní práce</t>
  </si>
  <si>
    <t xml:space="preserve">    5 - Komunikace pozemní</t>
  </si>
  <si>
    <t xml:space="preserve">    9 - Ostatní konstrukce a práce, bourání</t>
  </si>
  <si>
    <t xml:space="preserve">    997 - Přesun sutě</t>
  </si>
  <si>
    <t>2) Ostatní náklady</t>
  </si>
  <si>
    <t>ROZPOČET</t>
  </si>
  <si>
    <t>PČ</t>
  </si>
  <si>
    <t>Typ</t>
  </si>
  <si>
    <t>Popis</t>
  </si>
  <si>
    <t>MJ</t>
  </si>
  <si>
    <t>Množství</t>
  </si>
  <si>
    <t>K</t>
  </si>
  <si>
    <t>m2</t>
  </si>
  <si>
    <t>m</t>
  </si>
  <si>
    <t>kus</t>
  </si>
  <si>
    <t>t</t>
  </si>
  <si>
    <t>Jedn.</t>
  </si>
  <si>
    <t>Celkem</t>
  </si>
  <si>
    <t>Cena [CZK]</t>
  </si>
  <si>
    <t>Hmotnost_x000D_ [t]</t>
  </si>
  <si>
    <t>Suť [t]</t>
  </si>
  <si>
    <t xml:space="preserve">    998 - Přesun hmot</t>
  </si>
  <si>
    <t>kpl</t>
  </si>
  <si>
    <t xml:space="preserve">    997 - Přesun hmot</t>
  </si>
  <si>
    <t xml:space="preserve">    VRN - Vedlejší rozpočtové náklady</t>
  </si>
  <si>
    <t>Zařízení staveniště</t>
  </si>
  <si>
    <t>Geodetické práce - vytyčení inženýrských sítí</t>
  </si>
  <si>
    <t>Geodetické práce - vytyčení stavby</t>
  </si>
  <si>
    <t>Geodetické práce - skutečné zaměření</t>
  </si>
  <si>
    <t>BOZP - lávky, přejezdy, páska a oplocení</t>
  </si>
  <si>
    <t>Hutnící zkouška</t>
  </si>
  <si>
    <t>979087212R00</t>
  </si>
  <si>
    <t>Nakládání suti na dopravní prostředky</t>
  </si>
  <si>
    <t>DIO - dopravně inženýrské</t>
  </si>
  <si>
    <t>ks</t>
  </si>
  <si>
    <t>998225111R00</t>
  </si>
  <si>
    <t>Přesun hmot, pozemní komunikace, kryt živičný</t>
  </si>
  <si>
    <t>121101102R00</t>
  </si>
  <si>
    <t>Sejmutí ornice s přemístěním přes 50 do 100 m</t>
  </si>
  <si>
    <t>m3</t>
  </si>
  <si>
    <t>167101102R00</t>
  </si>
  <si>
    <t>Nakládání výkopku z hor.1-4 v množství nad 100 m3</t>
  </si>
  <si>
    <t>181101102R00</t>
  </si>
  <si>
    <t>Úprava pláně v zářezech v hor. 1-4, se zhutněním</t>
  </si>
  <si>
    <t>zeleň</t>
  </si>
  <si>
    <t>914001121R00</t>
  </si>
  <si>
    <t>917862111R00</t>
  </si>
  <si>
    <t>Osazení stojat. obrub.bet. s opěrou,lože z C 12/15</t>
  </si>
  <si>
    <t>564851111R00</t>
  </si>
  <si>
    <t>Podklad ze štěrkodrti po zhutnění tloušťky 15 cm</t>
  </si>
  <si>
    <t>Podklad ze štěrkodrti po zhutnění tloušťky 20 cm</t>
  </si>
  <si>
    <t>564861111R00</t>
  </si>
  <si>
    <t>Poplatek za skládku zemin/štěrku</t>
  </si>
  <si>
    <t>460620006R00</t>
  </si>
  <si>
    <t>Osetí povrchu trávou včetně travného semene</t>
  </si>
  <si>
    <t>Objekt:</t>
  </si>
  <si>
    <t>KOMUNIKACE</t>
  </si>
  <si>
    <t>122201101R00</t>
  </si>
  <si>
    <t>Odkopávky nezapažené v hor. 3 do 100 m3</t>
  </si>
  <si>
    <t>Odkopávky nezapažené v hor. 4 do 100 m3</t>
  </si>
  <si>
    <t>122301101R00</t>
  </si>
  <si>
    <t>181006114R00</t>
  </si>
  <si>
    <t>Rozprostření zemin v rov./sklonu 1:5, tl. do 30 cm</t>
  </si>
  <si>
    <t>Travní semeno</t>
  </si>
  <si>
    <t>kg</t>
  </si>
  <si>
    <t>162601101R00</t>
  </si>
  <si>
    <t>Vodorovné přemístění výkopku z hor.1-4 do 4000 m</t>
  </si>
  <si>
    <t xml:space="preserve">Postřik infiltrační, množství zbytkového asfaltového pojiva 1,00 kg/m2  </t>
  </si>
  <si>
    <t>573111124R00</t>
  </si>
  <si>
    <t>573231127R00</t>
  </si>
  <si>
    <t xml:space="preserve">Postřik spojovací z KAE, množství zbytkového asfaltu 0,7 kg/m2  </t>
  </si>
  <si>
    <t>596215021R00</t>
  </si>
  <si>
    <t>Kladení zámkové dlažby tl. 6 cm do drtě tl. 4 cm</t>
  </si>
  <si>
    <t>M</t>
  </si>
  <si>
    <t>CHODNÍK</t>
  </si>
  <si>
    <t>dlažba zámková PARKETA přírodní 20x10x6 cm</t>
  </si>
  <si>
    <t>BEZBARIÉROVOST</t>
  </si>
  <si>
    <t>dlažba zámková PARKETA slepecká červená 20x10x6 cm</t>
  </si>
  <si>
    <t>577161124R00</t>
  </si>
  <si>
    <t>Beton asfalt. ACL 16+ ložný, š. do 3 m, tl. 7 cm</t>
  </si>
  <si>
    <t>577132111R00</t>
  </si>
  <si>
    <t>Beton asfalt. ACO 11+ obrusný, š.nad 3 m, tl. 4 cm</t>
  </si>
  <si>
    <t>obrubník betonový silniční přechodový P/L 100x15x(15-25) cm</t>
  </si>
  <si>
    <t>obrubník betonový silniční nájezdový 100x15x15 cm</t>
  </si>
  <si>
    <t>obrubník betonový silniční 100x15x25 cm</t>
  </si>
  <si>
    <t>919731121R00</t>
  </si>
  <si>
    <t>Zarovnání styčné plochy živičné tl. do 5 cm</t>
  </si>
  <si>
    <t>919726213R00</t>
  </si>
  <si>
    <t>Těsnění spár asfaltového krytu zálivkou za tepla</t>
  </si>
  <si>
    <t>919735112R00</t>
  </si>
  <si>
    <t>Řezání stávajícího živičného krytu tl. 5 - 10 cm</t>
  </si>
  <si>
    <t xml:space="preserve">Poplatek za uložení suti - 17 01 01 - beton </t>
  </si>
  <si>
    <t>Poplatek za uložení suti - 17 05 04 - štěrk</t>
  </si>
  <si>
    <t>Poplatek za uložení suti - 17 03 02 - asfalt</t>
  </si>
  <si>
    <t>979083115R00</t>
  </si>
  <si>
    <t>Vodorovné přemístění suti na skládku do 4000 m</t>
  </si>
  <si>
    <t>113202111R00</t>
  </si>
  <si>
    <t>Vytrhání obrub obrubníků silničních</t>
  </si>
  <si>
    <t>596215041R00</t>
  </si>
  <si>
    <t>Kladení zámkové dlažby tl. 8 cm do drtě tl. 5 cm</t>
  </si>
  <si>
    <t>SJEZD vodící linie</t>
  </si>
  <si>
    <t>linie</t>
  </si>
  <si>
    <t>dlažba zámková PARKETA slepecká červená 20x10x8 cm</t>
  </si>
  <si>
    <t>VRN - vedlejší rozpočtové náklady</t>
  </si>
  <si>
    <t>VRN</t>
  </si>
  <si>
    <t>Vedlejší rozpočtové náklady</t>
  </si>
  <si>
    <t>silniční</t>
  </si>
  <si>
    <t>silniční nájezdový</t>
  </si>
  <si>
    <t>silniční přechodový</t>
  </si>
  <si>
    <t>chodníkový</t>
  </si>
  <si>
    <t>obrubník betonový chodníkový 100x10x25 cm</t>
  </si>
  <si>
    <t>SÚS asfalt</t>
  </si>
  <si>
    <t>Nakládání výkopku z hor.1-4 v množství nad 100 m3 - ORNICE</t>
  </si>
  <si>
    <t>zeleň sejmutí</t>
  </si>
  <si>
    <t>zeleň rozprostření</t>
  </si>
  <si>
    <t>162601102R00</t>
  </si>
  <si>
    <t>Vodorovné přemístění výkopku z hor.1-4 do 5000 m - ORNICE</t>
  </si>
  <si>
    <t>181006113R00</t>
  </si>
  <si>
    <t>Rozprostření zemin v rov./sklonu 1:5, tl. do 20 cm</t>
  </si>
  <si>
    <t>SÚS</t>
  </si>
  <si>
    <t>567122111R00</t>
  </si>
  <si>
    <t>PodkladPodklad z kameniva zpev.cementem SC C8/10 tl.12 cm</t>
  </si>
  <si>
    <t>577151123R00</t>
  </si>
  <si>
    <t>Beton asfalt. ACL 16+ ložný, š. do 3 m, tl. 6 cm</t>
  </si>
  <si>
    <t>567122114R00</t>
  </si>
  <si>
    <t>Podklad z kameniva zpev.cementem SC C8/10 tl.15 cm</t>
  </si>
  <si>
    <t>113151219R00</t>
  </si>
  <si>
    <t>Fréz.živič krytu nad 500 m2, bez překážek,tl.10 cm</t>
  </si>
  <si>
    <t>Poznámky:</t>
  </si>
  <si>
    <t>Sejmutí kačírku včetně geotextílie</t>
  </si>
  <si>
    <t>113106231R00</t>
  </si>
  <si>
    <t>Rozebrání dlažeb ze zámkové dlažby v kamenivu</t>
  </si>
  <si>
    <t>dlažba</t>
  </si>
  <si>
    <t>113151214R00</t>
  </si>
  <si>
    <t>Fréz.živič krytu nad 500 m2, bez překážek,tl.5 cm</t>
  </si>
  <si>
    <t>113107630R00</t>
  </si>
  <si>
    <t>Odstranění podkladu nad 50 m2,kam.drcené tl.30 cm</t>
  </si>
  <si>
    <t>113107640R00</t>
  </si>
  <si>
    <t>Odstranění podkladu nad 50 m2,kam.drcené tl.40 cm</t>
  </si>
  <si>
    <t>sjezdy</t>
  </si>
  <si>
    <t>59+3,5</t>
  </si>
  <si>
    <t>sús</t>
  </si>
  <si>
    <t>sús, sjezd</t>
  </si>
  <si>
    <t>113107620R00</t>
  </si>
  <si>
    <t>Odstranění podkladu nad 50 m2,kam.drcené tl.20 cm</t>
  </si>
  <si>
    <t>chodník</t>
  </si>
  <si>
    <t>asfalt, dlažba</t>
  </si>
  <si>
    <t>11+2+2+2,5+4,5+7,5</t>
  </si>
  <si>
    <t xml:space="preserve">    3 - Úprava pláně</t>
  </si>
  <si>
    <t>Před řešením úpravy pláně je potřeba provést zkoušky na plání 2 zkoušky a úpravu pláně provést v případě, že zkoužky nebudou vyhovující.</t>
  </si>
  <si>
    <t>Geodetické práce - geometrický plán</t>
  </si>
  <si>
    <t>IO.101 - CHODNÍK</t>
  </si>
  <si>
    <t>Město Chrudim, Resselovo náměstí 77, 537 16 Chrudim</t>
  </si>
  <si>
    <t>p.č. 2/3, 2/8, 772, 444, 448, 406/3 a st.15 v k.ú. Topol</t>
  </si>
  <si>
    <t>00270211</t>
  </si>
  <si>
    <t>IO.101</t>
  </si>
  <si>
    <t>VÝSTAVBA CHODNÍKU TOPOL PODÉL SILNICE III/34034</t>
  </si>
  <si>
    <t>kačírek</t>
  </si>
  <si>
    <t>16,5+32,5+28,5</t>
  </si>
  <si>
    <t>13</t>
  </si>
  <si>
    <t>4,5+3+6*2+10*2+3*2</t>
  </si>
  <si>
    <t>sjezd</t>
  </si>
  <si>
    <t>9,5+30+20+9</t>
  </si>
  <si>
    <t>přídlažba</t>
  </si>
  <si>
    <t>Přídlažba 50x25x8 šedé barvy</t>
  </si>
  <si>
    <t>Osazení svislé doprav.značky a sloupku, bet.základ - přesunutí stávajících svislých značek včetně demontáže, montáže a základu</t>
  </si>
  <si>
    <t>915712111R00</t>
  </si>
  <si>
    <t>Vodorovné značení proužků š.25 cm střík.barvou</t>
  </si>
  <si>
    <t>chodník bezbariérovost</t>
  </si>
  <si>
    <t>sjezd bezbariérovost</t>
  </si>
  <si>
    <t>dlažba zámková PARKETA antracit 20x10x8 cm</t>
  </si>
  <si>
    <t>16*1,05</t>
  </si>
  <si>
    <t>8*1,05</t>
  </si>
  <si>
    <t>118*1,05</t>
  </si>
  <si>
    <t>12*0,4</t>
  </si>
  <si>
    <t>12*0,4*1,05</t>
  </si>
  <si>
    <t>dlažba zámková KOSTKA vodící linie červená 20x20x8 cm</t>
  </si>
  <si>
    <t>Vodorovné dopravní značení bude rozhodnuto až po vytyčení stavby.</t>
  </si>
  <si>
    <t>V rámci stavby ve sjezdu dojde k sondě ohledně tloušťky ŠD v případě, že tloušťka bude dle projektu nebude se muset odstranit stávající ŠD souvrství.</t>
  </si>
  <si>
    <t>sjezd asfalt</t>
  </si>
  <si>
    <t>sjezd dlažba</t>
  </si>
  <si>
    <r>
      <t xml:space="preserve">Rozprostření zemin v rov./sklonu 1:5, tl. do 20 cm </t>
    </r>
    <r>
      <rPr>
        <b/>
        <sz val="8"/>
        <rFont val="Trebuchet MS"/>
        <family val="2"/>
        <charset val="238"/>
      </rPr>
      <t>- kačírek</t>
    </r>
  </si>
  <si>
    <r>
      <t>Osazení stojat. obrub.bet. s opěrou,lože z C 12/15</t>
    </r>
    <r>
      <rPr>
        <b/>
        <sz val="8"/>
        <rFont val="Trebuchet MS"/>
        <family val="2"/>
        <charset val="238"/>
      </rPr>
      <t xml:space="preserve"> - přídlažba šířky 250mm</t>
    </r>
  </si>
  <si>
    <t>chodník dlažba</t>
  </si>
  <si>
    <t>200*0,35</t>
  </si>
  <si>
    <t>64</t>
  </si>
  <si>
    <t>4,5+3+3,6+2,5+7,5</t>
  </si>
  <si>
    <t>11+14,5</t>
  </si>
  <si>
    <t>(39+14,5+50+28+4,5)*0,1</t>
  </si>
  <si>
    <t>0,2*(28+9+49+22+50,75+6,25)</t>
  </si>
  <si>
    <t>7*1,05</t>
  </si>
  <si>
    <t>125+28,8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</si>
</sst>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0" x14ac:knownFonts="1">
    <font>
      <sz val="11"/>
      <name val="Calibri"/>
      <family val="2"/>
    </font>
    <font>
      <sz val="8"/>
      <name val="Trebuchet MS"/>
      <family val="2"/>
    </font>
    <font>
      <sz val="9"/>
      <name val="Trebuchet MS"/>
      <family val="2"/>
    </font>
    <font>
      <b/>
      <sz val="12"/>
      <name val="Trebuchet MS"/>
      <family val="2"/>
    </font>
    <font>
      <sz val="11"/>
      <name val="Trebuchet MS"/>
      <family val="2"/>
    </font>
    <font>
      <b/>
      <sz val="16"/>
      <name val="Trebuchet MS"/>
      <family val="2"/>
    </font>
    <font>
      <sz val="10"/>
      <name val="Trebuchet MS"/>
      <family val="2"/>
    </font>
    <font>
      <b/>
      <sz val="10"/>
      <name val="Trebuchet MS"/>
      <family val="2"/>
    </font>
    <font>
      <b/>
      <sz val="9"/>
      <name val="Trebuchet MS"/>
      <family val="2"/>
    </font>
    <font>
      <b/>
      <sz val="8"/>
      <color indexed="12"/>
      <name val="Trebuchet MS"/>
      <family val="2"/>
      <charset val="238"/>
    </font>
    <font>
      <sz val="5"/>
      <name val="Trebuchet MS"/>
      <family val="2"/>
    </font>
    <font>
      <sz val="12"/>
      <name val="Trebuchet MS"/>
      <family val="2"/>
    </font>
    <font>
      <b/>
      <sz val="12"/>
      <name val="Trebuchet MS"/>
      <family val="2"/>
      <charset val="238"/>
    </font>
    <font>
      <sz val="8"/>
      <color rgb="FF969696"/>
      <name val="Trebuchet MS"/>
      <family val="2"/>
    </font>
    <font>
      <sz val="10"/>
      <color rgb="FF003366"/>
      <name val="Trebuchet MS"/>
      <family val="2"/>
    </font>
    <font>
      <sz val="9"/>
      <color rgb="FF969696"/>
      <name val="Trebuchet MS"/>
      <family val="2"/>
    </font>
    <font>
      <sz val="10"/>
      <color rgb="FF464646"/>
      <name val="Trebuchet MS"/>
      <family val="2"/>
    </font>
    <font>
      <b/>
      <sz val="10"/>
      <color rgb="FF464646"/>
      <name val="Trebuchet MS"/>
      <family val="2"/>
    </font>
    <font>
      <sz val="10"/>
      <color rgb="FF969696"/>
      <name val="Trebuchet MS"/>
      <family val="2"/>
    </font>
    <font>
      <b/>
      <sz val="12"/>
      <color rgb="FF960000"/>
      <name val="Trebuchet MS"/>
      <family val="2"/>
    </font>
    <font>
      <b/>
      <sz val="11"/>
      <color rgb="FF003366"/>
      <name val="Trebuchet MS"/>
      <family val="2"/>
    </font>
    <font>
      <sz val="11"/>
      <color rgb="FF003366"/>
      <name val="Trebuchet MS"/>
      <family val="2"/>
    </font>
    <font>
      <b/>
      <sz val="10"/>
      <color rgb="FF003366"/>
      <name val="Trebuchet MS"/>
      <family val="2"/>
      <charset val="238"/>
    </font>
    <font>
      <b/>
      <sz val="12"/>
      <color rgb="FF960000"/>
      <name val="Trebuchet MS"/>
      <family val="2"/>
      <charset val="238"/>
    </font>
    <font>
      <b/>
      <sz val="12"/>
      <color rgb="FF800000"/>
      <name val="Trebuchet MS"/>
      <family val="2"/>
    </font>
    <font>
      <b/>
      <sz val="10"/>
      <color rgb="FF0000FF"/>
      <name val="Trebuchet MS"/>
      <family val="2"/>
      <charset val="238"/>
    </font>
    <font>
      <sz val="8"/>
      <color rgb="FF0000FF"/>
      <name val="Trebuchet MS"/>
      <family val="2"/>
    </font>
    <font>
      <b/>
      <sz val="8"/>
      <color rgb="FF969696"/>
      <name val="Trebuchet MS"/>
      <family val="2"/>
    </font>
    <font>
      <sz val="8"/>
      <color rgb="FF3366FF"/>
      <name val="Trebuchet MS"/>
      <family val="2"/>
    </font>
    <font>
      <b/>
      <sz val="8"/>
      <color rgb="FF003366"/>
      <name val="Trebuchet MS"/>
      <family val="2"/>
      <charset val="238"/>
    </font>
    <font>
      <b/>
      <sz val="8"/>
      <name val="Trebuchet MS"/>
      <family val="2"/>
      <charset val="238"/>
    </font>
    <font>
      <b/>
      <i/>
      <sz val="8"/>
      <color rgb="FF0000FF"/>
      <name val="Trebuchet MS"/>
      <family val="2"/>
      <charset val="238"/>
    </font>
    <font>
      <sz val="11"/>
      <name val="Calibri"/>
      <family val="2"/>
    </font>
    <font>
      <sz val="12"/>
      <color rgb="FF003366"/>
      <name val="Trebuchet MS"/>
      <family val="2"/>
    </font>
    <font>
      <sz val="8"/>
      <color indexed="12"/>
      <name val="Trebuchet MS"/>
      <family val="2"/>
    </font>
    <font>
      <b/>
      <i/>
      <sz val="7"/>
      <color rgb="FF0000FF"/>
      <name val="Trebuchet MS"/>
      <family val="2"/>
      <charset val="238"/>
    </font>
    <font>
      <sz val="8"/>
      <name val="Calibri"/>
      <family val="2"/>
    </font>
    <font>
      <sz val="8"/>
      <name val="Trebuchet MS"/>
      <family val="2"/>
      <charset val="238"/>
    </font>
    <font>
      <b/>
      <sz val="12"/>
      <color rgb="FF0000FF"/>
      <name val="Trebuchet MS"/>
      <family val="2"/>
    </font>
    <font>
      <b/>
      <i/>
      <u/>
      <sz val="8"/>
      <name val="Trebuchet MS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2D05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dotted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dotted">
        <color rgb="FF969696"/>
      </left>
      <right/>
      <top style="dotted">
        <color rgb="FF969696"/>
      </top>
      <bottom/>
      <diagonal/>
    </border>
    <border>
      <left/>
      <right/>
      <top style="dotted">
        <color rgb="FF969696"/>
      </top>
      <bottom/>
      <diagonal/>
    </border>
    <border>
      <left/>
      <right style="dotted">
        <color rgb="FF969696"/>
      </right>
      <top style="dotted">
        <color rgb="FF969696"/>
      </top>
      <bottom/>
      <diagonal/>
    </border>
    <border>
      <left style="dotted">
        <color rgb="FF969696"/>
      </left>
      <right/>
      <top/>
      <bottom/>
      <diagonal/>
    </border>
    <border>
      <left/>
      <right style="dotted">
        <color rgb="FF969696"/>
      </right>
      <top/>
      <bottom/>
      <diagonal/>
    </border>
    <border>
      <left style="dotted">
        <color rgb="FF969696"/>
      </left>
      <right/>
      <top/>
      <bottom style="dotted">
        <color rgb="FF969696"/>
      </bottom>
      <diagonal/>
    </border>
    <border>
      <left/>
      <right/>
      <top/>
      <bottom style="dotted">
        <color rgb="FF969696"/>
      </bottom>
      <diagonal/>
    </border>
    <border>
      <left/>
      <right style="dotted">
        <color rgb="FF969696"/>
      </right>
      <top/>
      <bottom style="dotted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/>
      <top style="thin">
        <color rgb="FF0000FF"/>
      </top>
      <bottom/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/>
      <bottom style="thin">
        <color rgb="FF0000FF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2" fillId="0" borderId="0"/>
    <xf numFmtId="0" fontId="32" fillId="0" borderId="0"/>
  </cellStyleXfs>
  <cellXfs count="387">
    <xf numFmtId="0" fontId="1" fillId="0" borderId="0" xfId="0" applyFont="1"/>
    <xf numFmtId="0" fontId="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5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5" fillId="0" borderId="0" xfId="0" applyFont="1" applyAlignment="1">
      <alignment horizontal="left" vertical="center"/>
    </xf>
    <xf numFmtId="0" fontId="1" fillId="0" borderId="12" xfId="0" applyFont="1" applyBorder="1"/>
    <xf numFmtId="0" fontId="16" fillId="0" borderId="0" xfId="0" applyFont="1" applyAlignment="1">
      <alignment horizontal="left"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7" fillId="0" borderId="13" xfId="0" applyFont="1" applyBorder="1" applyAlignment="1">
      <alignment horizontal="left" vertical="center"/>
    </xf>
    <xf numFmtId="0" fontId="1" fillId="0" borderId="13" xfId="0" applyFont="1" applyBorder="1" applyAlignment="1">
      <alignment vertical="center"/>
    </xf>
    <xf numFmtId="0" fontId="13" fillId="0" borderId="10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3" fillId="0" borderId="11" xfId="0" applyFont="1" applyBorder="1" applyAlignment="1">
      <alignment vertical="center"/>
    </xf>
    <xf numFmtId="0" fontId="3" fillId="2" borderId="14" xfId="0" applyFont="1" applyFill="1" applyBorder="1" applyAlignment="1">
      <alignment horizontal="left" vertical="center"/>
    </xf>
    <xf numFmtId="0" fontId="1" fillId="2" borderId="15" xfId="0" applyFont="1" applyFill="1" applyBorder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17" fillId="0" borderId="16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19" xfId="0" applyFont="1" applyBorder="1"/>
    <xf numFmtId="0" fontId="1" fillId="0" borderId="20" xfId="0" applyFont="1" applyBorder="1"/>
    <xf numFmtId="0" fontId="18" fillId="0" borderId="21" xfId="0" applyFont="1" applyBorder="1" applyAlignment="1">
      <alignment horizontal="left" vertical="center"/>
    </xf>
    <xf numFmtId="0" fontId="1" fillId="0" borderId="22" xfId="0" applyFont="1" applyBorder="1" applyAlignment="1">
      <alignment vertical="center"/>
    </xf>
    <xf numFmtId="0" fontId="18" fillId="0" borderId="22" xfId="0" applyFont="1" applyBorder="1" applyAlignment="1">
      <alignment horizontal="left" vertical="center"/>
    </xf>
    <xf numFmtId="0" fontId="1" fillId="0" borderId="23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11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1" fillId="3" borderId="15" xfId="0" applyFont="1" applyFill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4" fillId="0" borderId="1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19" fillId="3" borderId="0" xfId="0" applyFont="1" applyFill="1" applyAlignment="1">
      <alignment horizontal="left" vertical="center"/>
    </xf>
    <xf numFmtId="0" fontId="1" fillId="3" borderId="0" xfId="0" applyFont="1" applyFill="1" applyAlignment="1">
      <alignment vertical="center"/>
    </xf>
    <xf numFmtId="0" fontId="3" fillId="3" borderId="14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right" vertical="center"/>
    </xf>
    <xf numFmtId="0" fontId="14" fillId="0" borderId="10" xfId="0" applyFont="1" applyBorder="1" applyAlignment="1">
      <alignment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6" fontId="13" fillId="0" borderId="0" xfId="0" applyNumberFormat="1" applyFont="1" applyAlignment="1">
      <alignment vertical="center"/>
    </xf>
    <xf numFmtId="0" fontId="1" fillId="0" borderId="10" xfId="0" applyFont="1" applyBorder="1" applyAlignment="1" applyProtection="1">
      <alignment vertical="center"/>
      <protection locked="0"/>
    </xf>
    <xf numFmtId="4" fontId="1" fillId="0" borderId="0" xfId="0" applyNumberFormat="1" applyFont="1" applyAlignment="1" applyProtection="1">
      <alignment vertical="center"/>
      <protection locked="0"/>
    </xf>
    <xf numFmtId="3" fontId="1" fillId="0" borderId="0" xfId="0" applyNumberFormat="1" applyFont="1" applyAlignment="1" applyProtection="1">
      <alignment vertical="center"/>
      <protection locked="0"/>
    </xf>
    <xf numFmtId="167" fontId="13" fillId="0" borderId="0" xfId="0" applyNumberFormat="1" applyFont="1" applyAlignment="1">
      <alignment vertical="center"/>
    </xf>
    <xf numFmtId="167" fontId="1" fillId="0" borderId="2" xfId="0" applyNumberFormat="1" applyFont="1" applyBorder="1" applyAlignment="1">
      <alignment vertical="center"/>
    </xf>
    <xf numFmtId="167" fontId="1" fillId="0" borderId="3" xfId="0" applyNumberFormat="1" applyFont="1" applyBorder="1" applyAlignment="1">
      <alignment vertical="center"/>
    </xf>
    <xf numFmtId="167" fontId="1" fillId="0" borderId="4" xfId="0" applyNumberFormat="1" applyFont="1" applyBorder="1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10" xfId="0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3" xfId="0" applyNumberFormat="1" applyFont="1" applyBorder="1" applyAlignment="1">
      <alignment vertical="center"/>
    </xf>
    <xf numFmtId="166" fontId="1" fillId="0" borderId="4" xfId="0" applyNumberFormat="1" applyFont="1" applyBorder="1" applyAlignment="1">
      <alignment vertical="center"/>
    </xf>
    <xf numFmtId="4" fontId="1" fillId="0" borderId="2" xfId="0" applyNumberFormat="1" applyFont="1" applyBorder="1" applyAlignment="1">
      <alignment vertical="center"/>
    </xf>
    <xf numFmtId="0" fontId="22" fillId="0" borderId="0" xfId="0" applyFont="1" applyAlignment="1">
      <alignment horizontal="left"/>
    </xf>
    <xf numFmtId="3" fontId="1" fillId="0" borderId="8" xfId="0" applyNumberFormat="1" applyFont="1" applyBorder="1"/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17" xfId="0" applyNumberFormat="1" applyFont="1" applyBorder="1" applyAlignment="1">
      <alignment vertical="center"/>
    </xf>
    <xf numFmtId="3" fontId="1" fillId="0" borderId="18" xfId="0" applyNumberFormat="1" applyFont="1" applyBorder="1" applyAlignment="1">
      <alignment vertical="center"/>
    </xf>
    <xf numFmtId="3" fontId="1" fillId="0" borderId="20" xfId="0" applyNumberFormat="1" applyFont="1" applyBorder="1"/>
    <xf numFmtId="3" fontId="1" fillId="0" borderId="23" xfId="0" applyNumberFormat="1" applyFont="1" applyBorder="1" applyAlignment="1">
      <alignment vertical="center"/>
    </xf>
    <xf numFmtId="3" fontId="1" fillId="0" borderId="25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0" fillId="0" borderId="0" xfId="0" applyNumberFormat="1" applyFont="1" applyAlignment="1">
      <alignment vertical="center"/>
    </xf>
    <xf numFmtId="3" fontId="18" fillId="0" borderId="22" xfId="0" applyNumberFormat="1" applyFont="1" applyBorder="1" applyAlignment="1">
      <alignment horizontal="left" vertical="center"/>
    </xf>
    <xf numFmtId="3" fontId="1" fillId="0" borderId="22" xfId="0" applyNumberFormat="1" applyFont="1" applyBorder="1" applyAlignment="1">
      <alignment vertical="center"/>
    </xf>
    <xf numFmtId="167" fontId="2" fillId="4" borderId="1" xfId="0" applyNumberFormat="1" applyFont="1" applyFill="1" applyBorder="1" applyAlignment="1">
      <alignment horizontal="center" vertical="center" wrapText="1"/>
    </xf>
    <xf numFmtId="0" fontId="22" fillId="0" borderId="10" xfId="0" applyFont="1" applyBorder="1"/>
    <xf numFmtId="0" fontId="22" fillId="0" borderId="0" xfId="0" applyFont="1"/>
    <xf numFmtId="167" fontId="22" fillId="0" borderId="0" xfId="0" applyNumberFormat="1" applyFont="1"/>
    <xf numFmtId="0" fontId="11" fillId="0" borderId="0" xfId="0" applyFont="1" applyAlignment="1">
      <alignment vertical="center"/>
    </xf>
    <xf numFmtId="4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22" fillId="0" borderId="11" xfId="0" applyFont="1" applyBorder="1"/>
    <xf numFmtId="0" fontId="1" fillId="0" borderId="27" xfId="0" applyFont="1" applyBorder="1" applyAlignment="1">
      <alignment vertical="center"/>
    </xf>
    <xf numFmtId="167" fontId="23" fillId="0" borderId="0" xfId="0" applyNumberFormat="1" applyFont="1"/>
    <xf numFmtId="3" fontId="2" fillId="4" borderId="1" xfId="0" applyNumberFormat="1" applyFont="1" applyFill="1" applyBorder="1" applyAlignment="1">
      <alignment horizontal="center" vertical="center" wrapText="1"/>
    </xf>
    <xf numFmtId="3" fontId="19" fillId="0" borderId="0" xfId="0" applyNumberFormat="1" applyFont="1"/>
    <xf numFmtId="3" fontId="22" fillId="0" borderId="0" xfId="0" applyNumberFormat="1" applyFont="1"/>
    <xf numFmtId="3" fontId="1" fillId="0" borderId="1" xfId="0" applyNumberFormat="1" applyFont="1" applyBorder="1" applyAlignment="1">
      <alignment vertical="center"/>
    </xf>
    <xf numFmtId="3" fontId="1" fillId="0" borderId="2" xfId="0" applyNumberFormat="1" applyFont="1" applyBorder="1" applyAlignment="1">
      <alignment vertical="center"/>
    </xf>
    <xf numFmtId="4" fontId="1" fillId="0" borderId="4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167" fontId="1" fillId="0" borderId="0" xfId="0" applyNumberFormat="1" applyFont="1" applyAlignment="1">
      <alignment vertical="center"/>
    </xf>
    <xf numFmtId="0" fontId="2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11" xfId="0" applyFont="1" applyBorder="1" applyAlignment="1">
      <alignment vertical="center"/>
    </xf>
    <xf numFmtId="3" fontId="2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164" fontId="13" fillId="0" borderId="0" xfId="0" applyNumberFormat="1" applyFont="1" applyAlignment="1">
      <alignment vertical="center"/>
    </xf>
    <xf numFmtId="0" fontId="13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28" xfId="0" applyFont="1" applyBorder="1" applyAlignment="1" applyProtection="1">
      <alignment vertical="center"/>
      <protection locked="0"/>
    </xf>
    <xf numFmtId="0" fontId="1" fillId="0" borderId="28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 wrapText="1"/>
    </xf>
    <xf numFmtId="167" fontId="10" fillId="0" borderId="0" xfId="0" applyNumberFormat="1" applyFont="1" applyAlignment="1">
      <alignment vertical="center"/>
    </xf>
    <xf numFmtId="3" fontId="3" fillId="3" borderId="15" xfId="0" applyNumberFormat="1" applyFont="1" applyFill="1" applyBorder="1" applyAlignment="1">
      <alignment horizontal="center" vertical="center"/>
    </xf>
    <xf numFmtId="3" fontId="1" fillId="3" borderId="15" xfId="0" applyNumberFormat="1" applyFont="1" applyFill="1" applyBorder="1" applyAlignment="1">
      <alignment vertical="center"/>
    </xf>
    <xf numFmtId="0" fontId="29" fillId="0" borderId="0" xfId="0" applyFont="1"/>
    <xf numFmtId="0" fontId="29" fillId="0" borderId="31" xfId="0" applyFont="1" applyBorder="1"/>
    <xf numFmtId="4" fontId="22" fillId="0" borderId="0" xfId="0" applyNumberFormat="1" applyFont="1" applyAlignment="1">
      <alignment horizontal="left"/>
    </xf>
    <xf numFmtId="167" fontId="29" fillId="0" borderId="0" xfId="0" applyNumberFormat="1" applyFont="1"/>
    <xf numFmtId="0" fontId="29" fillId="0" borderId="33" xfId="0" applyFont="1" applyBorder="1"/>
    <xf numFmtId="0" fontId="1" fillId="0" borderId="31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33" xfId="0" applyFont="1" applyBorder="1" applyAlignment="1">
      <alignment vertical="center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4" fontId="1" fillId="5" borderId="2" xfId="0" applyNumberFormat="1" applyFont="1" applyFill="1" applyBorder="1" applyAlignment="1" applyProtection="1">
      <alignment vertical="center"/>
      <protection locked="0"/>
    </xf>
    <xf numFmtId="4" fontId="1" fillId="5" borderId="3" xfId="0" applyNumberFormat="1" applyFont="1" applyFill="1" applyBorder="1" applyAlignment="1" applyProtection="1">
      <alignment vertical="center"/>
      <protection locked="0"/>
    </xf>
    <xf numFmtId="4" fontId="1" fillId="5" borderId="4" xfId="0" applyNumberFormat="1" applyFont="1" applyFill="1" applyBorder="1" applyAlignment="1" applyProtection="1">
      <alignment vertical="center"/>
      <protection locked="0"/>
    </xf>
    <xf numFmtId="3" fontId="1" fillId="0" borderId="12" xfId="0" applyNumberFormat="1" applyFont="1" applyBorder="1"/>
    <xf numFmtId="4" fontId="1" fillId="5" borderId="1" xfId="0" applyNumberFormat="1" applyFont="1" applyFill="1" applyBorder="1" applyAlignment="1">
      <alignment vertical="center"/>
    </xf>
    <xf numFmtId="4" fontId="1" fillId="5" borderId="2" xfId="0" applyNumberFormat="1" applyFont="1" applyFill="1" applyBorder="1" applyAlignment="1">
      <alignment vertical="center"/>
    </xf>
    <xf numFmtId="4" fontId="1" fillId="5" borderId="3" xfId="0" applyNumberFormat="1" applyFont="1" applyFill="1" applyBorder="1" applyAlignment="1">
      <alignment vertical="center"/>
    </xf>
    <xf numFmtId="4" fontId="1" fillId="5" borderId="4" xfId="0" applyNumberFormat="1" applyFont="1" applyFill="1" applyBorder="1" applyAlignment="1">
      <alignment vertical="center"/>
    </xf>
    <xf numFmtId="0" fontId="31" fillId="0" borderId="1" xfId="0" applyFont="1" applyBorder="1" applyAlignment="1">
      <alignment horizontal="center" vertical="center" wrapText="1"/>
    </xf>
    <xf numFmtId="166" fontId="31" fillId="0" borderId="1" xfId="0" applyNumberFormat="1" applyFont="1" applyBorder="1" applyAlignment="1">
      <alignment vertical="center"/>
    </xf>
    <xf numFmtId="3" fontId="31" fillId="0" borderId="1" xfId="0" applyNumberFormat="1" applyFont="1" applyBorder="1" applyAlignment="1">
      <alignment vertical="center"/>
    </xf>
    <xf numFmtId="49" fontId="26" fillId="0" borderId="30" xfId="0" applyNumberFormat="1" applyFont="1" applyBorder="1" applyAlignment="1" applyProtection="1">
      <alignment horizontal="left" vertical="center" wrapText="1"/>
      <protection locked="0"/>
    </xf>
    <xf numFmtId="49" fontId="1" fillId="0" borderId="28" xfId="0" applyNumberFormat="1" applyFont="1" applyBorder="1" applyAlignment="1" applyProtection="1">
      <alignment horizontal="left" vertical="center"/>
      <protection locked="0"/>
    </xf>
    <xf numFmtId="167" fontId="1" fillId="5" borderId="1" xfId="0" applyNumberFormat="1" applyFont="1" applyFill="1" applyBorder="1" applyAlignment="1">
      <alignment vertical="center"/>
    </xf>
    <xf numFmtId="49" fontId="1" fillId="0" borderId="2" xfId="0" applyNumberFormat="1" applyFont="1" applyBorder="1" applyAlignment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left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49" fontId="26" fillId="0" borderId="32" xfId="0" applyNumberFormat="1" applyFont="1" applyBorder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3" fontId="10" fillId="0" borderId="0" xfId="0" applyNumberFormat="1" applyFont="1" applyAlignment="1">
      <alignment horizontal="center" vertical="center" wrapText="1"/>
    </xf>
    <xf numFmtId="167" fontId="10" fillId="0" borderId="0" xfId="0" applyNumberFormat="1" applyFont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167" fontId="1" fillId="5" borderId="2" xfId="0" applyNumberFormat="1" applyFont="1" applyFill="1" applyBorder="1" applyAlignment="1">
      <alignment vertical="center"/>
    </xf>
    <xf numFmtId="167" fontId="1" fillId="5" borderId="3" xfId="0" applyNumberFormat="1" applyFont="1" applyFill="1" applyBorder="1" applyAlignment="1">
      <alignment vertical="center"/>
    </xf>
    <xf numFmtId="167" fontId="1" fillId="5" borderId="4" xfId="0" applyNumberFormat="1" applyFont="1" applyFill="1" applyBorder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0" xfId="0" applyNumberFormat="1" applyFont="1" applyAlignment="1">
      <alignment vertical="center"/>
    </xf>
    <xf numFmtId="4" fontId="1" fillId="0" borderId="32" xfId="0" applyNumberFormat="1" applyFont="1" applyBorder="1" applyAlignment="1" applyProtection="1">
      <alignment vertical="center"/>
      <protection locked="0"/>
    </xf>
    <xf numFmtId="49" fontId="26" fillId="0" borderId="0" xfId="0" applyNumberFormat="1" applyFont="1" applyAlignment="1" applyProtection="1">
      <alignment horizontal="left" vertical="center" wrapText="1"/>
      <protection locked="0"/>
    </xf>
    <xf numFmtId="0" fontId="33" fillId="0" borderId="0" xfId="2" applyFont="1"/>
    <xf numFmtId="0" fontId="33" fillId="0" borderId="31" xfId="2" applyFont="1" applyBorder="1"/>
    <xf numFmtId="0" fontId="1" fillId="0" borderId="0" xfId="0" applyFont="1" applyAlignment="1" applyProtection="1">
      <alignment horizontal="center" vertical="center" wrapText="1"/>
      <protection locked="0"/>
    </xf>
    <xf numFmtId="167" fontId="31" fillId="5" borderId="1" xfId="0" applyNumberFormat="1" applyFont="1" applyFill="1" applyBorder="1" applyAlignment="1">
      <alignment vertical="center"/>
    </xf>
    <xf numFmtId="166" fontId="31" fillId="0" borderId="4" xfId="0" applyNumberFormat="1" applyFont="1" applyBorder="1" applyAlignment="1">
      <alignment vertical="center"/>
    </xf>
    <xf numFmtId="167" fontId="31" fillId="5" borderId="4" xfId="0" applyNumberFormat="1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167" fontId="12" fillId="0" borderId="0" xfId="0" applyNumberFormat="1" applyFont="1" applyAlignment="1">
      <alignment vertical="center"/>
    </xf>
    <xf numFmtId="49" fontId="1" fillId="0" borderId="1" xfId="1" applyNumberFormat="1" applyFont="1" applyBorder="1" applyAlignment="1">
      <alignment horizontal="left" vertical="center"/>
    </xf>
    <xf numFmtId="49" fontId="1" fillId="0" borderId="2" xfId="0" applyNumberFormat="1" applyFont="1" applyBorder="1" applyAlignment="1" applyProtection="1">
      <alignment horizontal="left" vertical="center"/>
      <protection locked="0"/>
    </xf>
    <xf numFmtId="49" fontId="1" fillId="0" borderId="3" xfId="0" applyNumberFormat="1" applyFont="1" applyBorder="1" applyAlignment="1" applyProtection="1">
      <alignment horizontal="left" vertical="center"/>
      <protection locked="0"/>
    </xf>
    <xf numFmtId="49" fontId="1" fillId="0" borderId="4" xfId="0" applyNumberFormat="1" applyFont="1" applyBorder="1" applyAlignment="1" applyProtection="1">
      <alignment horizontal="left" vertical="center"/>
      <protection locked="0"/>
    </xf>
    <xf numFmtId="3" fontId="13" fillId="0" borderId="0" xfId="0" applyNumberFormat="1" applyFont="1" applyAlignment="1">
      <alignment vertical="center"/>
    </xf>
    <xf numFmtId="4" fontId="1" fillId="0" borderId="3" xfId="0" applyNumberFormat="1" applyFont="1" applyBorder="1" applyAlignment="1" applyProtection="1">
      <alignment vertical="center"/>
      <protection locked="0"/>
    </xf>
    <xf numFmtId="49" fontId="34" fillId="0" borderId="0" xfId="0" applyNumberFormat="1" applyFont="1" applyAlignment="1" applyProtection="1">
      <alignment vertical="center" wrapText="1"/>
      <protection locked="0"/>
    </xf>
    <xf numFmtId="166" fontId="13" fillId="0" borderId="33" xfId="0" applyNumberFormat="1" applyFont="1" applyBorder="1" applyAlignment="1">
      <alignment vertical="center"/>
    </xf>
    <xf numFmtId="0" fontId="31" fillId="0" borderId="1" xfId="0" applyFont="1" applyBorder="1" applyAlignment="1" applyProtection="1">
      <alignment horizontal="center" vertical="center" wrapText="1"/>
      <protection locked="0"/>
    </xf>
    <xf numFmtId="4" fontId="31" fillId="5" borderId="5" xfId="0" applyNumberFormat="1" applyFont="1" applyFill="1" applyBorder="1" applyAlignment="1" applyProtection="1">
      <alignment vertical="center"/>
      <protection locked="0"/>
    </xf>
    <xf numFmtId="3" fontId="1" fillId="0" borderId="4" xfId="0" applyNumberFormat="1" applyFont="1" applyBorder="1" applyAlignment="1" applyProtection="1">
      <alignment vertical="center"/>
      <protection locked="0"/>
    </xf>
    <xf numFmtId="3" fontId="31" fillId="0" borderId="1" xfId="0" applyNumberFormat="1" applyFont="1" applyBorder="1" applyAlignment="1" applyProtection="1">
      <alignment vertical="center"/>
      <protection locked="0"/>
    </xf>
    <xf numFmtId="167" fontId="1" fillId="8" borderId="2" xfId="0" applyNumberFormat="1" applyFont="1" applyFill="1" applyBorder="1" applyAlignment="1">
      <alignment vertical="center"/>
    </xf>
    <xf numFmtId="167" fontId="1" fillId="8" borderId="4" xfId="0" applyNumberFormat="1" applyFont="1" applyFill="1" applyBorder="1" applyAlignment="1">
      <alignment vertical="center"/>
    </xf>
    <xf numFmtId="167" fontId="31" fillId="8" borderId="1" xfId="0" applyNumberFormat="1" applyFont="1" applyFill="1" applyBorder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4" fontId="31" fillId="0" borderId="1" xfId="0" applyNumberFormat="1" applyFont="1" applyBorder="1" applyAlignment="1" applyProtection="1">
      <alignment vertical="center"/>
      <protection locked="0"/>
    </xf>
    <xf numFmtId="4" fontId="31" fillId="5" borderId="1" xfId="0" applyNumberFormat="1" applyFont="1" applyFill="1" applyBorder="1" applyAlignment="1" applyProtection="1">
      <alignment vertical="center"/>
      <protection locked="0"/>
    </xf>
    <xf numFmtId="0" fontId="1" fillId="0" borderId="35" xfId="0" applyFont="1" applyBorder="1" applyAlignment="1">
      <alignment vertical="center"/>
    </xf>
    <xf numFmtId="4" fontId="1" fillId="0" borderId="2" xfId="0" applyNumberFormat="1" applyFont="1" applyBorder="1" applyAlignment="1" applyProtection="1">
      <alignment vertical="center"/>
      <protection locked="0"/>
    </xf>
    <xf numFmtId="4" fontId="1" fillId="0" borderId="4" xfId="0" applyNumberFormat="1" applyFont="1" applyBorder="1" applyAlignment="1" applyProtection="1">
      <alignment vertical="center"/>
      <protection locked="0"/>
    </xf>
    <xf numFmtId="4" fontId="34" fillId="0" borderId="0" xfId="0" applyNumberFormat="1" applyFont="1" applyAlignment="1" applyProtection="1">
      <alignment horizontal="right" vertical="center"/>
      <protection locked="0"/>
    </xf>
    <xf numFmtId="4" fontId="9" fillId="0" borderId="28" xfId="0" applyNumberFormat="1" applyFont="1" applyBorder="1" applyAlignment="1" applyProtection="1">
      <alignment vertical="center"/>
      <protection locked="0"/>
    </xf>
    <xf numFmtId="3" fontId="1" fillId="0" borderId="2" xfId="0" applyNumberFormat="1" applyFont="1" applyBorder="1" applyAlignment="1" applyProtection="1">
      <alignment vertical="center"/>
      <protection locked="0"/>
    </xf>
    <xf numFmtId="3" fontId="1" fillId="0" borderId="3" xfId="0" applyNumberFormat="1" applyFont="1" applyBorder="1" applyAlignment="1" applyProtection="1">
      <alignment vertical="center"/>
      <protection locked="0"/>
    </xf>
    <xf numFmtId="0" fontId="1" fillId="9" borderId="4" xfId="0" applyFont="1" applyFill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3" fontId="19" fillId="0" borderId="0" xfId="0" applyNumberFormat="1" applyFont="1" applyAlignment="1">
      <alignment vertical="center"/>
    </xf>
    <xf numFmtId="3" fontId="21" fillId="0" borderId="0" xfId="0" applyNumberFormat="1" applyFont="1" applyAlignment="1">
      <alignment vertical="center"/>
    </xf>
    <xf numFmtId="167" fontId="1" fillId="9" borderId="1" xfId="0" applyNumberFormat="1" applyFont="1" applyFill="1" applyBorder="1" applyAlignment="1">
      <alignment vertical="center"/>
    </xf>
    <xf numFmtId="167" fontId="1" fillId="6" borderId="1" xfId="0" applyNumberFormat="1" applyFont="1" applyFill="1" applyBorder="1" applyAlignment="1">
      <alignment vertical="center"/>
    </xf>
    <xf numFmtId="167" fontId="1" fillId="8" borderId="3" xfId="0" applyNumberFormat="1" applyFont="1" applyFill="1" applyBorder="1" applyAlignment="1">
      <alignment vertical="center"/>
    </xf>
    <xf numFmtId="3" fontId="1" fillId="0" borderId="0" xfId="0" applyNumberFormat="1" applyFont="1" applyAlignment="1">
      <alignment horizontal="right"/>
    </xf>
    <xf numFmtId="166" fontId="1" fillId="0" borderId="33" xfId="0" applyNumberFormat="1" applyFont="1" applyBorder="1" applyAlignment="1">
      <alignment vertical="center"/>
    </xf>
    <xf numFmtId="4" fontId="31" fillId="5" borderId="4" xfId="0" applyNumberFormat="1" applyFont="1" applyFill="1" applyBorder="1" applyAlignment="1" applyProtection="1">
      <alignment vertical="center"/>
      <protection locked="0"/>
    </xf>
    <xf numFmtId="0" fontId="37" fillId="0" borderId="3" xfId="0" applyFont="1" applyBorder="1" applyAlignment="1">
      <alignment horizontal="center" vertical="center" wrapText="1"/>
    </xf>
    <xf numFmtId="166" fontId="37" fillId="0" borderId="3" xfId="0" applyNumberFormat="1" applyFont="1" applyBorder="1" applyAlignment="1">
      <alignment vertical="center"/>
    </xf>
    <xf numFmtId="4" fontId="37" fillId="5" borderId="3" xfId="0" applyNumberFormat="1" applyFont="1" applyFill="1" applyBorder="1" applyAlignment="1" applyProtection="1">
      <alignment vertical="center"/>
      <protection locked="0"/>
    </xf>
    <xf numFmtId="3" fontId="37" fillId="0" borderId="3" xfId="0" applyNumberFormat="1" applyFont="1" applyBorder="1" applyAlignment="1">
      <alignment vertical="center"/>
    </xf>
    <xf numFmtId="0" fontId="37" fillId="0" borderId="2" xfId="0" applyFont="1" applyBorder="1" applyAlignment="1">
      <alignment horizontal="center" vertical="center" wrapText="1"/>
    </xf>
    <xf numFmtId="4" fontId="37" fillId="5" borderId="2" xfId="0" applyNumberFormat="1" applyFont="1" applyFill="1" applyBorder="1" applyAlignment="1" applyProtection="1">
      <alignment vertical="center"/>
      <protection locked="0"/>
    </xf>
    <xf numFmtId="3" fontId="37" fillId="0" borderId="2" xfId="0" applyNumberFormat="1" applyFont="1" applyBorder="1" applyAlignment="1">
      <alignment vertical="center"/>
    </xf>
    <xf numFmtId="166" fontId="37" fillId="0" borderId="2" xfId="0" applyNumberFormat="1" applyFont="1" applyBorder="1" applyAlignment="1">
      <alignment vertical="center"/>
    </xf>
    <xf numFmtId="0" fontId="1" fillId="0" borderId="31" xfId="0" applyFont="1" applyBorder="1" applyAlignment="1">
      <alignment vertical="center"/>
    </xf>
    <xf numFmtId="0" fontId="31" fillId="0" borderId="4" xfId="0" applyFont="1" applyBorder="1" applyAlignment="1" applyProtection="1">
      <alignment horizontal="center" vertical="center" wrapText="1"/>
      <protection locked="0"/>
    </xf>
    <xf numFmtId="4" fontId="31" fillId="0" borderId="4" xfId="0" applyNumberFormat="1" applyFont="1" applyBorder="1" applyAlignment="1" applyProtection="1">
      <alignment vertical="center"/>
      <protection locked="0"/>
    </xf>
    <xf numFmtId="3" fontId="31" fillId="0" borderId="4" xfId="0" applyNumberFormat="1" applyFont="1" applyBorder="1" applyAlignment="1" applyProtection="1">
      <alignment vertical="center"/>
      <protection locked="0"/>
    </xf>
    <xf numFmtId="167" fontId="37" fillId="5" borderId="2" xfId="0" applyNumberFormat="1" applyFont="1" applyFill="1" applyBorder="1" applyAlignment="1">
      <alignment vertical="center"/>
    </xf>
    <xf numFmtId="167" fontId="37" fillId="5" borderId="3" xfId="0" applyNumberFormat="1" applyFont="1" applyFill="1" applyBorder="1" applyAlignment="1">
      <alignment vertical="center"/>
    </xf>
    <xf numFmtId="14" fontId="2" fillId="4" borderId="0" xfId="0" applyNumberFormat="1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" fontId="9" fillId="0" borderId="0" xfId="0" applyNumberFormat="1" applyFont="1" applyAlignment="1" applyProtection="1">
      <alignment vertical="center"/>
      <protection locked="0"/>
    </xf>
    <xf numFmtId="4" fontId="26" fillId="0" borderId="30" xfId="0" applyNumberFormat="1" applyFont="1" applyBorder="1" applyAlignment="1">
      <alignment vertical="center"/>
    </xf>
    <xf numFmtId="4" fontId="26" fillId="0" borderId="32" xfId="0" applyNumberFormat="1" applyFont="1" applyBorder="1" applyAlignment="1">
      <alignment vertical="center"/>
    </xf>
    <xf numFmtId="4" fontId="26" fillId="0" borderId="0" xfId="0" applyNumberFormat="1" applyFont="1" applyAlignment="1">
      <alignment vertical="center"/>
    </xf>
    <xf numFmtId="4" fontId="1" fillId="0" borderId="1" xfId="0" applyNumberFormat="1" applyFont="1" applyBorder="1" applyAlignment="1">
      <alignment vertical="center"/>
    </xf>
    <xf numFmtId="4" fontId="1" fillId="0" borderId="4" xfId="0" applyNumberFormat="1" applyFont="1" applyBorder="1" applyAlignment="1" applyProtection="1">
      <alignment horizontal="right" vertical="center"/>
      <protection locked="0"/>
    </xf>
    <xf numFmtId="4" fontId="9" fillId="0" borderId="28" xfId="0" applyNumberFormat="1" applyFont="1" applyBorder="1" applyAlignment="1" applyProtection="1">
      <alignment horizontal="right" vertical="center"/>
      <protection locked="0"/>
    </xf>
    <xf numFmtId="4" fontId="31" fillId="0" borderId="1" xfId="0" applyNumberFormat="1" applyFont="1" applyBorder="1" applyAlignment="1">
      <alignment vertical="center"/>
    </xf>
    <xf numFmtId="4" fontId="37" fillId="0" borderId="2" xfId="0" applyNumberFormat="1" applyFont="1" applyBorder="1" applyAlignment="1">
      <alignment vertical="center"/>
    </xf>
    <xf numFmtId="4" fontId="37" fillId="0" borderId="3" xfId="0" applyNumberFormat="1" applyFont="1" applyBorder="1" applyAlignment="1">
      <alignment vertical="center"/>
    </xf>
    <xf numFmtId="166" fontId="22" fillId="0" borderId="0" xfId="0" applyNumberFormat="1" applyFont="1"/>
    <xf numFmtId="0" fontId="1" fillId="0" borderId="34" xfId="0" applyFont="1" applyBorder="1" applyAlignment="1">
      <alignment horizontal="center" vertical="center" wrapText="1"/>
    </xf>
    <xf numFmtId="4" fontId="1" fillId="0" borderId="34" xfId="0" applyNumberFormat="1" applyFont="1" applyBorder="1" applyAlignment="1">
      <alignment vertical="center"/>
    </xf>
    <xf numFmtId="4" fontId="1" fillId="5" borderId="34" xfId="0" applyNumberFormat="1" applyFont="1" applyFill="1" applyBorder="1" applyAlignment="1">
      <alignment vertical="center"/>
    </xf>
    <xf numFmtId="3" fontId="1" fillId="0" borderId="34" xfId="0" applyNumberFormat="1" applyFont="1" applyBorder="1" applyAlignment="1">
      <alignment vertical="center"/>
    </xf>
    <xf numFmtId="166" fontId="1" fillId="0" borderId="34" xfId="0" applyNumberFormat="1" applyFont="1" applyBorder="1" applyAlignment="1">
      <alignment vertical="center"/>
    </xf>
    <xf numFmtId="167" fontId="1" fillId="5" borderId="34" xfId="0" applyNumberFormat="1" applyFont="1" applyFill="1" applyBorder="1" applyAlignment="1">
      <alignment vertical="center"/>
    </xf>
    <xf numFmtId="4" fontId="25" fillId="0" borderId="0" xfId="0" applyNumberFormat="1" applyFont="1" applyAlignment="1">
      <alignment vertical="center"/>
    </xf>
    <xf numFmtId="167" fontId="1" fillId="7" borderId="1" xfId="0" applyNumberFormat="1" applyFont="1" applyFill="1" applyBorder="1" applyAlignment="1">
      <alignment vertical="center"/>
    </xf>
    <xf numFmtId="167" fontId="1" fillId="0" borderId="31" xfId="0" applyNumberFormat="1" applyFont="1" applyBorder="1" applyAlignment="1">
      <alignment vertical="center"/>
    </xf>
    <xf numFmtId="3" fontId="4" fillId="0" borderId="0" xfId="0" applyNumberFormat="1" applyFont="1" applyAlignment="1">
      <alignment vertical="center"/>
    </xf>
    <xf numFmtId="3" fontId="38" fillId="0" borderId="0" xfId="0" applyNumberFormat="1" applyFont="1" applyAlignment="1">
      <alignment vertical="center"/>
    </xf>
    <xf numFmtId="49" fontId="1" fillId="0" borderId="0" xfId="1" applyNumberFormat="1" applyFont="1" applyAlignment="1">
      <alignment horizontal="left" vertical="center"/>
    </xf>
    <xf numFmtId="0" fontId="1" fillId="0" borderId="0" xfId="1" applyFont="1" applyAlignment="1">
      <alignment horizontal="left" vertical="center" wrapText="1"/>
    </xf>
    <xf numFmtId="0" fontId="1" fillId="0" borderId="0" xfId="1" applyFont="1" applyAlignment="1">
      <alignment vertical="center"/>
    </xf>
    <xf numFmtId="167" fontId="1" fillId="6" borderId="34" xfId="0" applyNumberFormat="1" applyFont="1" applyFill="1" applyBorder="1" applyAlignment="1">
      <alignment vertical="center"/>
    </xf>
    <xf numFmtId="4" fontId="1" fillId="0" borderId="32" xfId="0" applyNumberFormat="1" applyFont="1" applyBorder="1" applyAlignment="1">
      <alignment vertical="center"/>
    </xf>
    <xf numFmtId="3" fontId="1" fillId="0" borderId="32" xfId="0" applyNumberFormat="1" applyFont="1" applyBorder="1" applyAlignment="1">
      <alignment vertical="center"/>
    </xf>
    <xf numFmtId="166" fontId="1" fillId="0" borderId="32" xfId="0" applyNumberFormat="1" applyFont="1" applyBorder="1" applyAlignment="1">
      <alignment vertical="center"/>
    </xf>
    <xf numFmtId="167" fontId="1" fillId="0" borderId="32" xfId="0" applyNumberFormat="1" applyFont="1" applyBorder="1" applyAlignment="1">
      <alignment vertical="center"/>
    </xf>
    <xf numFmtId="0" fontId="39" fillId="0" borderId="0" xfId="0" applyFont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167" fontId="19" fillId="0" borderId="0" xfId="0" applyNumberFormat="1" applyFont="1"/>
    <xf numFmtId="167" fontId="3" fillId="0" borderId="0" xfId="0" applyNumberFormat="1" applyFont="1" applyAlignment="1">
      <alignment vertical="center"/>
    </xf>
    <xf numFmtId="0" fontId="11" fillId="0" borderId="11" xfId="0" applyFont="1" applyBorder="1" applyAlignment="1">
      <alignment vertical="center"/>
    </xf>
    <xf numFmtId="0" fontId="1" fillId="0" borderId="34" xfId="0" applyFont="1" applyBorder="1" applyAlignment="1">
      <alignment horizontal="center" vertical="center"/>
    </xf>
    <xf numFmtId="49" fontId="1" fillId="0" borderId="34" xfId="0" applyNumberFormat="1" applyFont="1" applyBorder="1" applyAlignment="1">
      <alignment horizontal="left" vertical="center"/>
    </xf>
    <xf numFmtId="0" fontId="1" fillId="0" borderId="32" xfId="0" applyFont="1" applyBorder="1" applyAlignment="1">
      <alignment horizontal="center" vertical="center"/>
    </xf>
    <xf numFmtId="49" fontId="26" fillId="0" borderId="32" xfId="0" applyNumberFormat="1" applyFont="1" applyBorder="1" applyAlignment="1" applyProtection="1">
      <alignment horizontal="right" vertical="center"/>
      <protection locked="0"/>
    </xf>
    <xf numFmtId="49" fontId="26" fillId="0" borderId="32" xfId="0" applyNumberFormat="1" applyFont="1" applyBorder="1" applyAlignment="1" applyProtection="1">
      <alignment horizontal="left" vertical="center"/>
      <protection locked="0"/>
    </xf>
    <xf numFmtId="49" fontId="1" fillId="0" borderId="1" xfId="0" applyNumberFormat="1" applyFont="1" applyBorder="1" applyAlignment="1">
      <alignment horizontal="left" vertical="center"/>
    </xf>
    <xf numFmtId="49" fontId="26" fillId="0" borderId="30" xfId="0" applyNumberFormat="1" applyFont="1" applyBorder="1" applyAlignment="1" applyProtection="1">
      <alignment horizontal="right" vertical="center"/>
      <protection locked="0"/>
    </xf>
    <xf numFmtId="49" fontId="26" fillId="0" borderId="0" xfId="0" applyNumberFormat="1" applyFont="1" applyAlignment="1" applyProtection="1">
      <alignment horizontal="left" vertical="center"/>
      <protection locked="0"/>
    </xf>
    <xf numFmtId="49" fontId="26" fillId="0" borderId="0" xfId="0" applyNumberFormat="1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2" fillId="0" borderId="0" xfId="2" applyFont="1"/>
    <xf numFmtId="0" fontId="22" fillId="0" borderId="0" xfId="2" applyFont="1" applyAlignment="1">
      <alignment horizontal="left"/>
    </xf>
    <xf numFmtId="49" fontId="1" fillId="0" borderId="0" xfId="0" applyNumberFormat="1" applyFont="1" applyAlignment="1" applyProtection="1">
      <alignment horizontal="left" vertical="center"/>
      <protection locked="0"/>
    </xf>
    <xf numFmtId="0" fontId="31" fillId="0" borderId="1" xfId="0" applyFont="1" applyBorder="1" applyAlignment="1" applyProtection="1">
      <alignment horizontal="center" vertical="center"/>
      <protection locked="0"/>
    </xf>
    <xf numFmtId="49" fontId="31" fillId="0" borderId="1" xfId="0" applyNumberFormat="1" applyFont="1" applyBorder="1" applyAlignment="1" applyProtection="1">
      <alignment horizontal="center" vertical="center"/>
      <protection locked="0"/>
    </xf>
    <xf numFmtId="49" fontId="35" fillId="0" borderId="1" xfId="0" applyNumberFormat="1" applyFont="1" applyBorder="1" applyAlignment="1" applyProtection="1">
      <alignment horizontal="center" vertical="center"/>
      <protection locked="0"/>
    </xf>
    <xf numFmtId="49" fontId="26" fillId="0" borderId="30" xfId="0" applyNumberFormat="1" applyFont="1" applyBorder="1" applyAlignment="1" applyProtection="1">
      <alignment horizontal="left" vertical="center"/>
      <protection locked="0"/>
    </xf>
    <xf numFmtId="0" fontId="37" fillId="0" borderId="2" xfId="0" applyFont="1" applyBorder="1" applyAlignment="1">
      <alignment horizontal="center" vertical="center"/>
    </xf>
    <xf numFmtId="49" fontId="37" fillId="0" borderId="2" xfId="0" applyNumberFormat="1" applyFont="1" applyBorder="1" applyAlignment="1">
      <alignment horizontal="left" vertical="center"/>
    </xf>
    <xf numFmtId="0" fontId="37" fillId="0" borderId="3" xfId="0" applyFont="1" applyBorder="1" applyAlignment="1">
      <alignment horizontal="center" vertical="center"/>
    </xf>
    <xf numFmtId="49" fontId="37" fillId="0" borderId="3" xfId="0" applyNumberFormat="1" applyFont="1" applyBorder="1" applyAlignment="1">
      <alignment horizontal="left" vertical="center"/>
    </xf>
    <xf numFmtId="0" fontId="31" fillId="0" borderId="1" xfId="0" applyFont="1" applyBorder="1" applyAlignment="1">
      <alignment horizontal="center" vertical="center"/>
    </xf>
    <xf numFmtId="49" fontId="31" fillId="0" borderId="1" xfId="0" applyNumberFormat="1" applyFont="1" applyBorder="1" applyAlignment="1">
      <alignment horizontal="left" vertical="center"/>
    </xf>
    <xf numFmtId="49" fontId="31" fillId="0" borderId="1" xfId="0" applyNumberFormat="1" applyFont="1" applyBorder="1" applyAlignment="1" applyProtection="1">
      <alignment horizontal="left" vertical="center"/>
      <protection locked="0"/>
    </xf>
    <xf numFmtId="0" fontId="31" fillId="0" borderId="4" xfId="0" applyFont="1" applyBorder="1" applyAlignment="1" applyProtection="1">
      <alignment horizontal="center" vertical="center"/>
      <protection locked="0"/>
    </xf>
    <xf numFmtId="49" fontId="31" fillId="0" borderId="4" xfId="0" applyNumberFormat="1" applyFont="1" applyBorder="1" applyAlignment="1" applyProtection="1">
      <alignment horizontal="left" vertical="center"/>
      <protection locked="0"/>
    </xf>
    <xf numFmtId="49" fontId="34" fillId="0" borderId="0" xfId="0" applyNumberFormat="1" applyFont="1" applyAlignment="1" applyProtection="1">
      <alignment horizontal="right" vertical="center"/>
      <protection locked="0"/>
    </xf>
    <xf numFmtId="49" fontId="34" fillId="0" borderId="0" xfId="0" applyNumberFormat="1" applyFont="1" applyAlignment="1" applyProtection="1">
      <alignment vertical="center"/>
      <protection locked="0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3" fontId="21" fillId="0" borderId="0" xfId="0" applyNumberFormat="1" applyFont="1" applyAlignment="1">
      <alignment horizontal="right" vertical="center"/>
    </xf>
    <xf numFmtId="0" fontId="20" fillId="0" borderId="0" xfId="0" applyFont="1" applyAlignment="1">
      <alignment horizontal="left" vertical="center" wrapText="1"/>
    </xf>
    <xf numFmtId="3" fontId="19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3" fontId="19" fillId="3" borderId="0" xfId="0" applyNumberFormat="1" applyFont="1" applyFill="1" applyAlignment="1">
      <alignment vertical="center"/>
    </xf>
    <xf numFmtId="3" fontId="19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vertical="center"/>
    </xf>
    <xf numFmtId="3" fontId="6" fillId="0" borderId="0" xfId="0" applyNumberFormat="1" applyFont="1" applyAlignment="1">
      <alignment vertical="center"/>
    </xf>
    <xf numFmtId="3" fontId="1" fillId="0" borderId="0" xfId="0" applyNumberFormat="1" applyFont="1"/>
    <xf numFmtId="3" fontId="27" fillId="0" borderId="0" xfId="0" applyNumberFormat="1" applyFont="1" applyAlignment="1">
      <alignment vertical="center"/>
    </xf>
    <xf numFmtId="3" fontId="13" fillId="0" borderId="0" xfId="0" applyNumberFormat="1" applyFont="1" applyAlignment="1">
      <alignment vertical="center"/>
    </xf>
    <xf numFmtId="164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4" fontId="27" fillId="0" borderId="0" xfId="0" applyNumberFormat="1" applyFont="1" applyAlignment="1">
      <alignment vertical="center"/>
    </xf>
    <xf numFmtId="3" fontId="7" fillId="0" borderId="13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0" fontId="28" fillId="0" borderId="0" xfId="0" applyFont="1" applyAlignment="1">
      <alignment horizontal="center" vertical="center"/>
    </xf>
    <xf numFmtId="0" fontId="1" fillId="0" borderId="0" xfId="0" applyFont="1"/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2" borderId="15" xfId="0" applyFont="1" applyFill="1" applyBorder="1" applyAlignment="1">
      <alignment horizontal="left" vertical="center"/>
    </xf>
    <xf numFmtId="0" fontId="1" fillId="2" borderId="15" xfId="0" applyFont="1" applyFill="1" applyBorder="1" applyAlignment="1">
      <alignment vertical="center"/>
    </xf>
    <xf numFmtId="3" fontId="3" fillId="2" borderId="15" xfId="0" applyNumberFormat="1" applyFont="1" applyFill="1" applyBorder="1" applyAlignment="1">
      <alignment vertical="center"/>
    </xf>
    <xf numFmtId="3" fontId="1" fillId="2" borderId="15" xfId="0" applyNumberFormat="1" applyFont="1" applyFill="1" applyBorder="1" applyAlignment="1">
      <alignment vertical="center"/>
    </xf>
    <xf numFmtId="3" fontId="1" fillId="2" borderId="29" xfId="0" applyNumberFormat="1" applyFont="1" applyFill="1" applyBorder="1" applyAlignment="1">
      <alignment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1" fillId="3" borderId="15" xfId="0" applyFont="1" applyFill="1" applyBorder="1" applyAlignment="1">
      <alignment vertical="center"/>
    </xf>
    <xf numFmtId="0" fontId="1" fillId="3" borderId="29" xfId="0" applyFont="1" applyFill="1" applyBorder="1" applyAlignment="1">
      <alignment vertical="center"/>
    </xf>
    <xf numFmtId="3" fontId="14" fillId="0" borderId="0" xfId="0" applyNumberFormat="1" applyFont="1" applyAlignment="1">
      <alignment horizontal="right" vertical="center"/>
    </xf>
    <xf numFmtId="3" fontId="19" fillId="3" borderId="0" xfId="0" applyNumberFormat="1" applyFont="1" applyFill="1" applyAlignment="1">
      <alignment horizontal="right" vertical="center"/>
    </xf>
    <xf numFmtId="165" fontId="2" fillId="0" borderId="0" xfId="0" applyNumberFormat="1" applyFont="1" applyAlignment="1">
      <alignment horizontal="left" vertical="center"/>
    </xf>
    <xf numFmtId="3" fontId="2" fillId="0" borderId="0" xfId="0" applyNumberFormat="1" applyFont="1" applyAlignment="1">
      <alignment horizontal="left" vertical="center"/>
    </xf>
    <xf numFmtId="14" fontId="2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vertical="center"/>
    </xf>
    <xf numFmtId="3" fontId="2" fillId="3" borderId="0" xfId="0" applyNumberFormat="1" applyFont="1" applyFill="1" applyAlignment="1">
      <alignment horizontal="right" vertical="center"/>
    </xf>
    <xf numFmtId="3" fontId="3" fillId="3" borderId="15" xfId="0" applyNumberFormat="1" applyFont="1" applyFill="1" applyBorder="1" applyAlignment="1">
      <alignment vertical="center"/>
    </xf>
    <xf numFmtId="3" fontId="1" fillId="3" borderId="15" xfId="0" applyNumberFormat="1" applyFont="1" applyFill="1" applyBorder="1" applyAlignment="1">
      <alignment vertical="center"/>
    </xf>
    <xf numFmtId="3" fontId="1" fillId="3" borderId="29" xfId="0" applyNumberFormat="1" applyFont="1" applyFill="1" applyBorder="1" applyAlignment="1">
      <alignment vertical="center"/>
    </xf>
    <xf numFmtId="3" fontId="24" fillId="0" borderId="0" xfId="0" applyNumberFormat="1" applyFont="1" applyAlignment="1">
      <alignment horizontal="right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0" fontId="1" fillId="0" borderId="34" xfId="0" applyFont="1" applyBorder="1" applyAlignment="1">
      <alignment horizontal="left" vertical="center" wrapText="1"/>
    </xf>
    <xf numFmtId="0" fontId="1" fillId="0" borderId="34" xfId="0" applyFont="1" applyBorder="1" applyAlignment="1">
      <alignment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5" xfId="0" applyFont="1" applyBorder="1" applyAlignment="1">
      <alignment horizontal="left" vertical="center" wrapText="1"/>
    </xf>
    <xf numFmtId="0" fontId="1" fillId="0" borderId="36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vertical="center"/>
      <protection locked="0"/>
    </xf>
    <xf numFmtId="0" fontId="31" fillId="0" borderId="1" xfId="0" applyFont="1" applyBorder="1" applyAlignment="1" applyProtection="1">
      <alignment horizontal="left" vertical="center" wrapText="1"/>
      <protection locked="0"/>
    </xf>
    <xf numFmtId="0" fontId="31" fillId="0" borderId="1" xfId="0" applyFont="1" applyBorder="1" applyAlignment="1" applyProtection="1">
      <alignment vertical="center"/>
      <protection locked="0"/>
    </xf>
    <xf numFmtId="0" fontId="37" fillId="0" borderId="2" xfId="0" applyFont="1" applyBorder="1" applyAlignment="1">
      <alignment vertical="center" wrapText="1"/>
    </xf>
    <xf numFmtId="0" fontId="37" fillId="0" borderId="3" xfId="0" applyFont="1" applyBorder="1" applyAlignment="1">
      <alignment vertical="center" wrapText="1"/>
    </xf>
    <xf numFmtId="0" fontId="1" fillId="0" borderId="1" xfId="1" applyFont="1" applyBorder="1" applyAlignment="1">
      <alignment horizontal="left" vertical="center" wrapText="1"/>
    </xf>
    <xf numFmtId="0" fontId="1" fillId="0" borderId="1" xfId="1" applyFont="1" applyBorder="1" applyAlignment="1">
      <alignment vertical="center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31" fillId="0" borderId="4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</cellXfs>
  <cellStyles count="3">
    <cellStyle name="Normální" xfId="0" builtinId="0"/>
    <cellStyle name="Normální 2" xfId="1" xr:uid="{00000000-0005-0000-0000-000001000000}"/>
    <cellStyle name="Normální 3" xfId="2" xr:uid="{00000000-0005-0000-0000-000002000000}"/>
  </cellStyles>
  <dxfs count="0"/>
  <tableStyles count="0"/>
  <colors>
    <mruColors>
      <color rgb="FF0000FF"/>
      <color rgb="FFD9D9D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 fitToPage="1"/>
  </sheetPr>
  <dimension ref="B1:BL93"/>
  <sheetViews>
    <sheetView tabSelected="1" workbookViewId="0">
      <selection activeCell="AN8" sqref="AN8"/>
    </sheetView>
  </sheetViews>
  <sheetFormatPr defaultColWidth="9.28515625" defaultRowHeight="13.5" x14ac:dyDescent="0.3"/>
  <cols>
    <col min="1" max="1" width="8.28515625" customWidth="1"/>
    <col min="2" max="2" width="1.7109375" customWidth="1"/>
    <col min="3" max="3" width="4.140625" customWidth="1"/>
    <col min="4" max="33" width="2.42578125" customWidth="1"/>
    <col min="34" max="34" width="3.28515625" customWidth="1"/>
    <col min="35" max="37" width="2.42578125" customWidth="1"/>
    <col min="38" max="38" width="8.28515625" customWidth="1"/>
    <col min="39" max="39" width="3.28515625" customWidth="1"/>
    <col min="40" max="40" width="13.28515625" customWidth="1"/>
    <col min="41" max="41" width="7.42578125" customWidth="1"/>
    <col min="42" max="42" width="4.140625" customWidth="1"/>
    <col min="43" max="43" width="1.7109375" customWidth="1"/>
    <col min="45" max="46" width="9.7109375" bestFit="1" customWidth="1"/>
    <col min="47" max="49" width="11.7109375" bestFit="1" customWidth="1"/>
    <col min="51" max="51" width="10.42578125" bestFit="1" customWidth="1"/>
    <col min="59" max="77" width="0" hidden="1" customWidth="1"/>
  </cols>
  <sheetData>
    <row r="1" spans="2:60" ht="36.950000000000003" customHeight="1" x14ac:dyDescent="0.3">
      <c r="C1" s="322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323"/>
      <c r="V1" s="323"/>
      <c r="W1" s="323"/>
      <c r="X1" s="323"/>
      <c r="Y1" s="323"/>
      <c r="Z1" s="323"/>
      <c r="AA1" s="323"/>
      <c r="AB1" s="323"/>
      <c r="AC1" s="323"/>
      <c r="AD1" s="323"/>
      <c r="AE1" s="323"/>
      <c r="AF1" s="323"/>
      <c r="AG1" s="323"/>
      <c r="AH1" s="323"/>
      <c r="AI1" s="323"/>
      <c r="AJ1" s="323"/>
      <c r="AK1" s="323"/>
      <c r="AL1" s="323"/>
      <c r="AM1" s="323"/>
      <c r="AN1" s="323"/>
      <c r="AO1" s="323"/>
      <c r="AP1" s="323"/>
      <c r="BG1" s="8"/>
      <c r="BH1" s="8"/>
    </row>
    <row r="2" spans="2:60" ht="6.95" customHeight="1" x14ac:dyDescent="0.3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1"/>
      <c r="BG2" s="8" t="s">
        <v>1</v>
      </c>
      <c r="BH2" s="8" t="s">
        <v>2</v>
      </c>
    </row>
    <row r="3" spans="2:60" ht="36.950000000000003" customHeight="1" x14ac:dyDescent="0.3">
      <c r="B3" s="12"/>
      <c r="C3" s="324" t="s">
        <v>3</v>
      </c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  <c r="T3" s="323"/>
      <c r="U3" s="323"/>
      <c r="V3" s="323"/>
      <c r="W3" s="323"/>
      <c r="X3" s="323"/>
      <c r="Y3" s="323"/>
      <c r="Z3" s="323"/>
      <c r="AA3" s="323"/>
      <c r="AB3" s="323"/>
      <c r="AC3" s="323"/>
      <c r="AD3" s="323"/>
      <c r="AE3" s="323"/>
      <c r="AF3" s="323"/>
      <c r="AG3" s="323"/>
      <c r="AH3" s="323"/>
      <c r="AI3" s="323"/>
      <c r="AJ3" s="323"/>
      <c r="AK3" s="323"/>
      <c r="AL3" s="323"/>
      <c r="AM3" s="323"/>
      <c r="AN3" s="323"/>
      <c r="AO3" s="323"/>
      <c r="AP3" s="323"/>
      <c r="AQ3" s="13"/>
      <c r="BG3" s="8" t="s">
        <v>4</v>
      </c>
    </row>
    <row r="4" spans="2:60" ht="14.45" customHeight="1" x14ac:dyDescent="0.3">
      <c r="B4" s="12"/>
      <c r="D4" s="14" t="s">
        <v>5</v>
      </c>
      <c r="K4" s="325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323"/>
      <c r="X4" s="323"/>
      <c r="Y4" s="323"/>
      <c r="Z4" s="323"/>
      <c r="AA4" s="323"/>
      <c r="AB4" s="323"/>
      <c r="AC4" s="323"/>
      <c r="AD4" s="323"/>
      <c r="AE4" s="323"/>
      <c r="AF4" s="323"/>
      <c r="AG4" s="323"/>
      <c r="AH4" s="323"/>
      <c r="AI4" s="323"/>
      <c r="AJ4" s="323"/>
      <c r="AK4" s="323"/>
      <c r="AL4" s="323"/>
      <c r="AM4" s="323"/>
      <c r="AN4" s="323"/>
      <c r="AO4" s="323"/>
      <c r="AQ4" s="13"/>
      <c r="BG4" s="8" t="s">
        <v>1</v>
      </c>
    </row>
    <row r="5" spans="2:60" ht="18" x14ac:dyDescent="0.3">
      <c r="B5" s="12"/>
      <c r="D5" s="16" t="s">
        <v>6</v>
      </c>
      <c r="K5" s="326" t="s">
        <v>220</v>
      </c>
      <c r="L5" s="323"/>
      <c r="M5" s="323"/>
      <c r="N5" s="323"/>
      <c r="O5" s="323"/>
      <c r="P5" s="323"/>
      <c r="Q5" s="323"/>
      <c r="R5" s="323"/>
      <c r="S5" s="323"/>
      <c r="T5" s="323"/>
      <c r="U5" s="323"/>
      <c r="V5" s="323"/>
      <c r="W5" s="323"/>
      <c r="X5" s="323"/>
      <c r="Y5" s="323"/>
      <c r="Z5" s="323"/>
      <c r="AA5" s="323"/>
      <c r="AB5" s="323"/>
      <c r="AC5" s="323"/>
      <c r="AD5" s="323"/>
      <c r="AE5" s="323"/>
      <c r="AF5" s="323"/>
      <c r="AG5" s="323"/>
      <c r="AH5" s="323"/>
      <c r="AI5" s="323"/>
      <c r="AJ5" s="323"/>
      <c r="AK5" s="323"/>
      <c r="AL5" s="323"/>
      <c r="AM5" s="323"/>
      <c r="AN5" s="323"/>
      <c r="AO5" s="323"/>
      <c r="AQ5" s="13"/>
      <c r="BG5" s="8" t="s">
        <v>7</v>
      </c>
    </row>
    <row r="6" spans="2:60" ht="14.45" customHeight="1" x14ac:dyDescent="0.3">
      <c r="B6" s="12"/>
      <c r="D6" s="17" t="s">
        <v>8</v>
      </c>
      <c r="K6" s="15" t="s">
        <v>9</v>
      </c>
      <c r="AK6" s="17" t="s">
        <v>10</v>
      </c>
      <c r="AN6" s="15" t="s">
        <v>9</v>
      </c>
      <c r="AQ6" s="13"/>
      <c r="BG6" s="8" t="s">
        <v>11</v>
      </c>
    </row>
    <row r="7" spans="2:60" ht="14.45" customHeight="1" x14ac:dyDescent="0.3">
      <c r="B7" s="12"/>
      <c r="D7" s="17" t="s">
        <v>12</v>
      </c>
      <c r="K7" s="15" t="s">
        <v>217</v>
      </c>
      <c r="AK7" s="17" t="s">
        <v>13</v>
      </c>
      <c r="AN7" s="237">
        <v>46013</v>
      </c>
      <c r="AQ7" s="13"/>
      <c r="BG7" s="8" t="s">
        <v>14</v>
      </c>
    </row>
    <row r="8" spans="2:60" ht="14.45" customHeight="1" x14ac:dyDescent="0.3">
      <c r="B8" s="12"/>
      <c r="AQ8" s="13"/>
      <c r="BG8" s="8" t="s">
        <v>15</v>
      </c>
    </row>
    <row r="9" spans="2:60" ht="14.45" customHeight="1" x14ac:dyDescent="0.3">
      <c r="B9" s="12"/>
      <c r="D9" s="17" t="s">
        <v>16</v>
      </c>
      <c r="K9" t="s">
        <v>216</v>
      </c>
      <c r="AK9" s="17" t="s">
        <v>17</v>
      </c>
      <c r="AN9" s="214" t="s">
        <v>218</v>
      </c>
      <c r="AQ9" s="13"/>
      <c r="BG9" s="8" t="s">
        <v>7</v>
      </c>
    </row>
    <row r="10" spans="2:60" ht="18.399999999999999" customHeight="1" x14ac:dyDescent="0.3">
      <c r="B10" s="12"/>
      <c r="E10" s="15" t="s">
        <v>18</v>
      </c>
      <c r="AK10" s="17" t="s">
        <v>19</v>
      </c>
      <c r="AN10" s="15" t="s">
        <v>9</v>
      </c>
      <c r="AQ10" s="13"/>
      <c r="BG10" s="8" t="s">
        <v>7</v>
      </c>
    </row>
    <row r="11" spans="2:60" ht="6.95" customHeight="1" x14ac:dyDescent="0.3">
      <c r="B11" s="12"/>
      <c r="AQ11" s="13"/>
      <c r="BG11" s="8" t="s">
        <v>7</v>
      </c>
    </row>
    <row r="12" spans="2:60" ht="14.45" customHeight="1" x14ac:dyDescent="0.3">
      <c r="B12" s="12"/>
      <c r="D12" s="17" t="s">
        <v>20</v>
      </c>
      <c r="AK12" s="17" t="s">
        <v>17</v>
      </c>
      <c r="AN12" s="15" t="s">
        <v>9</v>
      </c>
      <c r="AQ12" s="13"/>
      <c r="BG12" s="8" t="s">
        <v>7</v>
      </c>
    </row>
    <row r="13" spans="2:60" ht="15" x14ac:dyDescent="0.3">
      <c r="B13" s="12"/>
      <c r="E13" s="15" t="s">
        <v>18</v>
      </c>
      <c r="AK13" s="17" t="s">
        <v>19</v>
      </c>
      <c r="AN13" s="15" t="s">
        <v>9</v>
      </c>
      <c r="AQ13" s="13"/>
      <c r="BG13" s="8" t="s">
        <v>7</v>
      </c>
    </row>
    <row r="14" spans="2:60" ht="6.95" customHeight="1" x14ac:dyDescent="0.3">
      <c r="B14" s="12"/>
      <c r="AQ14" s="13"/>
      <c r="BG14" s="8" t="s">
        <v>0</v>
      </c>
    </row>
    <row r="15" spans="2:60" ht="14.45" customHeight="1" x14ac:dyDescent="0.3">
      <c r="B15" s="12"/>
      <c r="D15" s="17" t="s">
        <v>21</v>
      </c>
      <c r="AK15" s="17" t="s">
        <v>17</v>
      </c>
      <c r="AN15" s="15" t="s">
        <v>9</v>
      </c>
      <c r="AQ15" s="13"/>
      <c r="BG15" s="8" t="s">
        <v>0</v>
      </c>
    </row>
    <row r="16" spans="2:60" ht="18.399999999999999" customHeight="1" x14ac:dyDescent="0.3">
      <c r="B16" s="12"/>
      <c r="E16" s="15" t="s">
        <v>18</v>
      </c>
      <c r="AK16" s="17" t="s">
        <v>19</v>
      </c>
      <c r="AN16" s="15" t="s">
        <v>9</v>
      </c>
      <c r="AQ16" s="13"/>
      <c r="BG16" s="8" t="s">
        <v>22</v>
      </c>
    </row>
    <row r="17" spans="2:59" ht="6.95" customHeight="1" x14ac:dyDescent="0.3">
      <c r="B17" s="12"/>
      <c r="AQ17" s="13"/>
      <c r="BG17" s="8" t="s">
        <v>1</v>
      </c>
    </row>
    <row r="18" spans="2:59" ht="14.45" customHeight="1" x14ac:dyDescent="0.3">
      <c r="B18" s="12"/>
      <c r="D18" s="17" t="s">
        <v>23</v>
      </c>
      <c r="AK18" s="17" t="s">
        <v>17</v>
      </c>
      <c r="AN18" s="15" t="s">
        <v>9</v>
      </c>
      <c r="AQ18" s="13"/>
      <c r="BG18" s="8" t="s">
        <v>1</v>
      </c>
    </row>
    <row r="19" spans="2:59" ht="18.399999999999999" customHeight="1" x14ac:dyDescent="0.3">
      <c r="B19" s="12"/>
      <c r="E19" s="15" t="s">
        <v>18</v>
      </c>
      <c r="AK19" s="17" t="s">
        <v>19</v>
      </c>
      <c r="AN19" s="15" t="s">
        <v>9</v>
      </c>
      <c r="AQ19" s="13"/>
    </row>
    <row r="20" spans="2:59" ht="6.95" customHeight="1" x14ac:dyDescent="0.3">
      <c r="B20" s="12"/>
      <c r="AQ20" s="13"/>
    </row>
    <row r="21" spans="2:59" ht="15" x14ac:dyDescent="0.3">
      <c r="B21" s="12"/>
      <c r="D21" s="17" t="s">
        <v>24</v>
      </c>
      <c r="AQ21" s="13"/>
    </row>
    <row r="22" spans="2:59" ht="22.5" customHeight="1" x14ac:dyDescent="0.3">
      <c r="B22" s="12"/>
      <c r="E22" s="327" t="s">
        <v>9</v>
      </c>
      <c r="F22" s="323"/>
      <c r="G22" s="323"/>
      <c r="H22" s="323"/>
      <c r="I22" s="323"/>
      <c r="J22" s="323"/>
      <c r="K22" s="323"/>
      <c r="L22" s="323"/>
      <c r="M22" s="323"/>
      <c r="N22" s="323"/>
      <c r="O22" s="323"/>
      <c r="P22" s="323"/>
      <c r="Q22" s="323"/>
      <c r="R22" s="323"/>
      <c r="S22" s="323"/>
      <c r="T22" s="323"/>
      <c r="U22" s="323"/>
      <c r="V22" s="323"/>
      <c r="W22" s="323"/>
      <c r="X22" s="323"/>
      <c r="Y22" s="323"/>
      <c r="Z22" s="323"/>
      <c r="AA22" s="323"/>
      <c r="AB22" s="323"/>
      <c r="AC22" s="323"/>
      <c r="AD22" s="323"/>
      <c r="AE22" s="323"/>
      <c r="AF22" s="323"/>
      <c r="AG22" s="323"/>
      <c r="AH22" s="323"/>
      <c r="AI22" s="323"/>
      <c r="AJ22" s="323"/>
      <c r="AK22" s="323"/>
      <c r="AL22" s="323"/>
      <c r="AM22" s="323"/>
      <c r="AN22" s="323"/>
      <c r="AQ22" s="13"/>
    </row>
    <row r="23" spans="2:59" ht="6.95" customHeight="1" x14ac:dyDescent="0.3">
      <c r="B23" s="12"/>
      <c r="AQ23" s="13"/>
    </row>
    <row r="24" spans="2:59" ht="6.95" customHeight="1" x14ac:dyDescent="0.3">
      <c r="B24" s="12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46"/>
      <c r="AL24" s="146"/>
      <c r="AM24" s="146"/>
      <c r="AN24" s="146"/>
      <c r="AO24" s="146"/>
      <c r="AQ24" s="13"/>
    </row>
    <row r="25" spans="2:59" ht="14.45" customHeight="1" x14ac:dyDescent="0.3">
      <c r="B25" s="12"/>
      <c r="D25" s="19" t="s">
        <v>25</v>
      </c>
      <c r="AK25" s="313">
        <f>ROUND(AJ86,2)</f>
        <v>0</v>
      </c>
      <c r="AL25" s="314"/>
      <c r="AM25" s="314"/>
      <c r="AN25" s="314"/>
      <c r="AO25" s="314"/>
      <c r="AQ25" s="13"/>
    </row>
    <row r="26" spans="2:59" ht="14.45" customHeight="1" x14ac:dyDescent="0.3">
      <c r="B26" s="12"/>
      <c r="D26" s="19" t="s">
        <v>26</v>
      </c>
      <c r="AK26" s="313">
        <f>ROUND(AJ90,2)</f>
        <v>0</v>
      </c>
      <c r="AL26" s="314"/>
      <c r="AM26" s="314"/>
      <c r="AN26" s="314"/>
      <c r="AO26" s="314"/>
      <c r="AQ26" s="13"/>
    </row>
    <row r="27" spans="2:59" s="1" customFormat="1" ht="6.95" customHeight="1" x14ac:dyDescent="0.25">
      <c r="B27" s="20"/>
      <c r="AK27" s="85"/>
      <c r="AL27" s="85"/>
      <c r="AM27" s="85"/>
      <c r="AN27" s="85"/>
      <c r="AO27" s="85"/>
      <c r="AQ27" s="21"/>
    </row>
    <row r="28" spans="2:59" s="1" customFormat="1" ht="25.9" customHeight="1" x14ac:dyDescent="0.25">
      <c r="B28" s="20"/>
      <c r="D28" s="22" t="s">
        <v>27</v>
      </c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320">
        <f>ROUND(AK25+AK26,2)</f>
        <v>0</v>
      </c>
      <c r="AL28" s="321"/>
      <c r="AM28" s="321"/>
      <c r="AN28" s="321"/>
      <c r="AO28" s="321"/>
      <c r="AQ28" s="21"/>
    </row>
    <row r="29" spans="2:59" s="1" customFormat="1" ht="6.95" customHeight="1" x14ac:dyDescent="0.25">
      <c r="B29" s="20"/>
      <c r="AK29" s="85"/>
      <c r="AL29" s="85"/>
      <c r="AM29" s="85"/>
      <c r="AN29" s="85"/>
      <c r="AO29" s="85"/>
      <c r="AQ29" s="21"/>
    </row>
    <row r="30" spans="2:59" s="2" customFormat="1" ht="14.45" customHeight="1" x14ac:dyDescent="0.25">
      <c r="B30" s="24"/>
      <c r="D30" s="25" t="s">
        <v>28</v>
      </c>
      <c r="F30" s="25" t="s">
        <v>29</v>
      </c>
      <c r="L30" s="317">
        <v>0.21</v>
      </c>
      <c r="M30" s="318"/>
      <c r="N30" s="318"/>
      <c r="O30" s="318"/>
      <c r="T30" s="26" t="s">
        <v>30</v>
      </c>
      <c r="W30" s="315">
        <f>AK28</f>
        <v>0</v>
      </c>
      <c r="X30" s="316"/>
      <c r="Y30" s="316"/>
      <c r="Z30" s="316"/>
      <c r="AA30" s="316"/>
      <c r="AB30" s="316"/>
      <c r="AC30" s="316"/>
      <c r="AD30" s="316"/>
      <c r="AE30" s="316"/>
      <c r="AK30" s="315">
        <f>W30*L30</f>
        <v>0</v>
      </c>
      <c r="AL30" s="316"/>
      <c r="AM30" s="316"/>
      <c r="AN30" s="316"/>
      <c r="AO30" s="316"/>
      <c r="AQ30" s="27"/>
    </row>
    <row r="31" spans="2:59" s="2" customFormat="1" ht="14.45" customHeight="1" x14ac:dyDescent="0.25">
      <c r="B31" s="24"/>
      <c r="F31" s="25" t="s">
        <v>31</v>
      </c>
      <c r="L31" s="317">
        <v>0.12</v>
      </c>
      <c r="M31" s="318"/>
      <c r="N31" s="318"/>
      <c r="O31" s="318"/>
      <c r="T31" s="26" t="s">
        <v>30</v>
      </c>
      <c r="W31" s="319"/>
      <c r="X31" s="318"/>
      <c r="Y31" s="318"/>
      <c r="Z31" s="318"/>
      <c r="AA31" s="318"/>
      <c r="AB31" s="318"/>
      <c r="AC31" s="318"/>
      <c r="AD31" s="318"/>
      <c r="AE31" s="318"/>
      <c r="AK31" s="315"/>
      <c r="AL31" s="316"/>
      <c r="AM31" s="316"/>
      <c r="AN31" s="316"/>
      <c r="AO31" s="316"/>
      <c r="AQ31" s="27"/>
    </row>
    <row r="32" spans="2:59" s="2" customFormat="1" ht="14.45" hidden="1" customHeight="1" x14ac:dyDescent="0.25">
      <c r="B32" s="24"/>
      <c r="F32" s="25" t="s">
        <v>32</v>
      </c>
      <c r="L32" s="317">
        <v>0.21</v>
      </c>
      <c r="M32" s="318"/>
      <c r="N32" s="318"/>
      <c r="O32" s="318"/>
      <c r="T32" s="26" t="s">
        <v>30</v>
      </c>
      <c r="W32" s="319" t="e">
        <f>ROUND(#REF!+SUM(BT91:BT91),2)</f>
        <v>#REF!</v>
      </c>
      <c r="X32" s="318"/>
      <c r="Y32" s="318"/>
      <c r="Z32" s="318"/>
      <c r="AA32" s="318"/>
      <c r="AB32" s="318"/>
      <c r="AC32" s="318"/>
      <c r="AD32" s="318"/>
      <c r="AE32" s="318"/>
      <c r="AK32" s="315">
        <v>0</v>
      </c>
      <c r="AL32" s="316"/>
      <c r="AM32" s="316"/>
      <c r="AN32" s="316"/>
      <c r="AO32" s="316"/>
      <c r="AQ32" s="27"/>
    </row>
    <row r="33" spans="2:43" s="2" customFormat="1" ht="14.45" hidden="1" customHeight="1" x14ac:dyDescent="0.25">
      <c r="B33" s="24"/>
      <c r="F33" s="25" t="s">
        <v>33</v>
      </c>
      <c r="L33" s="317">
        <v>0.15</v>
      </c>
      <c r="M33" s="318"/>
      <c r="N33" s="318"/>
      <c r="O33" s="318"/>
      <c r="T33" s="26" t="s">
        <v>30</v>
      </c>
      <c r="W33" s="319" t="e">
        <f>ROUND(#REF!+SUM(BU91:BU91),2)</f>
        <v>#REF!</v>
      </c>
      <c r="X33" s="318"/>
      <c r="Y33" s="318"/>
      <c r="Z33" s="318"/>
      <c r="AA33" s="318"/>
      <c r="AB33" s="318"/>
      <c r="AC33" s="318"/>
      <c r="AD33" s="318"/>
      <c r="AE33" s="318"/>
      <c r="AK33" s="315">
        <v>0</v>
      </c>
      <c r="AL33" s="316"/>
      <c r="AM33" s="316"/>
      <c r="AN33" s="316"/>
      <c r="AO33" s="316"/>
      <c r="AQ33" s="27"/>
    </row>
    <row r="34" spans="2:43" s="2" customFormat="1" ht="14.45" hidden="1" customHeight="1" x14ac:dyDescent="0.25">
      <c r="B34" s="24"/>
      <c r="F34" s="25" t="s">
        <v>34</v>
      </c>
      <c r="L34" s="317">
        <v>0</v>
      </c>
      <c r="M34" s="318"/>
      <c r="N34" s="318"/>
      <c r="O34" s="318"/>
      <c r="T34" s="26" t="s">
        <v>30</v>
      </c>
      <c r="W34" s="319" t="e">
        <f>ROUND(#REF!+SUM(BV91:BV91),2)</f>
        <v>#REF!</v>
      </c>
      <c r="X34" s="318"/>
      <c r="Y34" s="318"/>
      <c r="Z34" s="318"/>
      <c r="AA34" s="318"/>
      <c r="AB34" s="318"/>
      <c r="AC34" s="318"/>
      <c r="AD34" s="318"/>
      <c r="AE34" s="318"/>
      <c r="AK34" s="315">
        <v>0</v>
      </c>
      <c r="AL34" s="316"/>
      <c r="AM34" s="316"/>
      <c r="AN34" s="316"/>
      <c r="AO34" s="316"/>
      <c r="AQ34" s="27"/>
    </row>
    <row r="35" spans="2:43" s="1" customFormat="1" ht="6.95" customHeight="1" x14ac:dyDescent="0.25">
      <c r="B35" s="20"/>
      <c r="AK35" s="85"/>
      <c r="AL35" s="85"/>
      <c r="AM35" s="85"/>
      <c r="AN35" s="85"/>
      <c r="AO35" s="85"/>
      <c r="AQ35" s="21"/>
    </row>
    <row r="36" spans="2:43" s="1" customFormat="1" ht="25.9" customHeight="1" x14ac:dyDescent="0.25">
      <c r="B36" s="20"/>
      <c r="D36" s="28" t="s">
        <v>35</v>
      </c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30" t="s">
        <v>36</v>
      </c>
      <c r="U36" s="29"/>
      <c r="V36" s="29"/>
      <c r="W36" s="29"/>
      <c r="X36" s="330" t="s">
        <v>37</v>
      </c>
      <c r="Y36" s="331"/>
      <c r="Z36" s="331"/>
      <c r="AA36" s="331"/>
      <c r="AB36" s="331"/>
      <c r="AC36" s="29"/>
      <c r="AD36" s="29"/>
      <c r="AE36" s="29"/>
      <c r="AF36" s="29"/>
      <c r="AG36" s="29"/>
      <c r="AH36" s="29"/>
      <c r="AI36" s="29"/>
      <c r="AJ36" s="29"/>
      <c r="AK36" s="332">
        <f>SUM(AK28:AK34)</f>
        <v>0</v>
      </c>
      <c r="AL36" s="333"/>
      <c r="AM36" s="333"/>
      <c r="AN36" s="333"/>
      <c r="AO36" s="334"/>
      <c r="AQ36" s="21"/>
    </row>
    <row r="37" spans="2:43" s="1" customFormat="1" ht="14.45" customHeight="1" x14ac:dyDescent="0.25">
      <c r="B37" s="20"/>
      <c r="AQ37" s="21"/>
    </row>
    <row r="38" spans="2:43" x14ac:dyDescent="0.3">
      <c r="B38" s="12"/>
      <c r="AQ38" s="13"/>
    </row>
    <row r="39" spans="2:43" x14ac:dyDescent="0.3">
      <c r="B39" s="12"/>
      <c r="AQ39" s="13"/>
    </row>
    <row r="40" spans="2:43" x14ac:dyDescent="0.3">
      <c r="B40" s="12"/>
      <c r="AQ40" s="13"/>
    </row>
    <row r="41" spans="2:43" x14ac:dyDescent="0.3">
      <c r="B41" s="12"/>
      <c r="AQ41" s="13"/>
    </row>
    <row r="42" spans="2:43" x14ac:dyDescent="0.3">
      <c r="B42" s="12"/>
      <c r="AQ42" s="13"/>
    </row>
    <row r="43" spans="2:43" x14ac:dyDescent="0.3">
      <c r="B43" s="12"/>
      <c r="AQ43" s="13"/>
    </row>
    <row r="44" spans="2:43" x14ac:dyDescent="0.3">
      <c r="B44" s="12"/>
      <c r="AQ44" s="13"/>
    </row>
    <row r="45" spans="2:43" x14ac:dyDescent="0.3">
      <c r="B45" s="12"/>
      <c r="AQ45" s="13"/>
    </row>
    <row r="46" spans="2:43" x14ac:dyDescent="0.3">
      <c r="B46" s="12"/>
      <c r="AQ46" s="13"/>
    </row>
    <row r="47" spans="2:43" x14ac:dyDescent="0.3">
      <c r="B47" s="12"/>
      <c r="AQ47" s="13"/>
    </row>
    <row r="48" spans="2:43" s="1" customFormat="1" ht="15" x14ac:dyDescent="0.25">
      <c r="B48" s="20"/>
      <c r="D48" s="31" t="s">
        <v>38</v>
      </c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3"/>
      <c r="AC48" s="31" t="s">
        <v>39</v>
      </c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3"/>
      <c r="AQ48" s="21"/>
    </row>
    <row r="49" spans="2:43" x14ac:dyDescent="0.3">
      <c r="B49" s="12"/>
      <c r="D49" s="34"/>
      <c r="Z49" s="35"/>
      <c r="AC49" s="34"/>
      <c r="AO49" s="35"/>
      <c r="AQ49" s="13"/>
    </row>
    <row r="50" spans="2:43" x14ac:dyDescent="0.3">
      <c r="B50" s="12"/>
      <c r="D50" s="34"/>
      <c r="Z50" s="35"/>
      <c r="AC50" s="34"/>
      <c r="AO50" s="35"/>
      <c r="AQ50" s="13"/>
    </row>
    <row r="51" spans="2:43" x14ac:dyDescent="0.3">
      <c r="B51" s="12"/>
      <c r="D51" s="34"/>
      <c r="Z51" s="35"/>
      <c r="AC51" s="34"/>
      <c r="AO51" s="35"/>
      <c r="AQ51" s="13"/>
    </row>
    <row r="52" spans="2:43" x14ac:dyDescent="0.3">
      <c r="B52" s="12"/>
      <c r="D52" s="34"/>
      <c r="Z52" s="35"/>
      <c r="AC52" s="34"/>
      <c r="AO52" s="35"/>
      <c r="AQ52" s="13"/>
    </row>
    <row r="53" spans="2:43" x14ac:dyDescent="0.3">
      <c r="B53" s="12"/>
      <c r="D53" s="34"/>
      <c r="Z53" s="35"/>
      <c r="AC53" s="34"/>
      <c r="AO53" s="35"/>
      <c r="AQ53" s="13"/>
    </row>
    <row r="54" spans="2:43" x14ac:dyDescent="0.3">
      <c r="B54" s="12"/>
      <c r="D54" s="34"/>
      <c r="Z54" s="35"/>
      <c r="AC54" s="34"/>
      <c r="AO54" s="35"/>
      <c r="AQ54" s="13"/>
    </row>
    <row r="55" spans="2:43" x14ac:dyDescent="0.3">
      <c r="B55" s="12"/>
      <c r="D55" s="34"/>
      <c r="Z55" s="35"/>
      <c r="AC55" s="34"/>
      <c r="AO55" s="35"/>
      <c r="AQ55" s="13"/>
    </row>
    <row r="56" spans="2:43" x14ac:dyDescent="0.3">
      <c r="B56" s="12"/>
      <c r="D56" s="34"/>
      <c r="Z56" s="35"/>
      <c r="AC56" s="34"/>
      <c r="AO56" s="35"/>
      <c r="AQ56" s="13"/>
    </row>
    <row r="57" spans="2:43" s="1" customFormat="1" ht="15" x14ac:dyDescent="0.25">
      <c r="B57" s="20"/>
      <c r="D57" s="36" t="s">
        <v>40</v>
      </c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8" t="s">
        <v>41</v>
      </c>
      <c r="S57" s="37"/>
      <c r="T57" s="37"/>
      <c r="U57" s="37"/>
      <c r="V57" s="37"/>
      <c r="W57" s="37"/>
      <c r="X57" s="37"/>
      <c r="Y57" s="37"/>
      <c r="Z57" s="39"/>
      <c r="AC57" s="36" t="s">
        <v>40</v>
      </c>
      <c r="AD57" s="37"/>
      <c r="AE57" s="37"/>
      <c r="AF57" s="37"/>
      <c r="AG57" s="37"/>
      <c r="AH57" s="37"/>
      <c r="AI57" s="37"/>
      <c r="AJ57" s="37"/>
      <c r="AK57" s="37"/>
      <c r="AL57" s="37"/>
      <c r="AM57" s="38" t="s">
        <v>41</v>
      </c>
      <c r="AN57" s="37"/>
      <c r="AO57" s="39"/>
      <c r="AQ57" s="21"/>
    </row>
    <row r="58" spans="2:43" x14ac:dyDescent="0.3">
      <c r="B58" s="12"/>
      <c r="AQ58" s="13"/>
    </row>
    <row r="59" spans="2:43" s="1" customFormat="1" ht="15" x14ac:dyDescent="0.25">
      <c r="B59" s="20"/>
      <c r="D59" s="31" t="s">
        <v>42</v>
      </c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3"/>
      <c r="AC59" s="31" t="s">
        <v>43</v>
      </c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3"/>
      <c r="AQ59" s="21"/>
    </row>
    <row r="60" spans="2:43" x14ac:dyDescent="0.3">
      <c r="B60" s="12"/>
      <c r="D60" s="34"/>
      <c r="Z60" s="35"/>
      <c r="AC60" s="34"/>
      <c r="AO60" s="35"/>
      <c r="AQ60" s="13"/>
    </row>
    <row r="61" spans="2:43" x14ac:dyDescent="0.3">
      <c r="B61" s="12"/>
      <c r="D61" s="34"/>
      <c r="Z61" s="35"/>
      <c r="AC61" s="34"/>
      <c r="AO61" s="35"/>
      <c r="AQ61" s="13"/>
    </row>
    <row r="62" spans="2:43" x14ac:dyDescent="0.3">
      <c r="B62" s="12"/>
      <c r="D62" s="34"/>
      <c r="Z62" s="35"/>
      <c r="AC62" s="34"/>
      <c r="AO62" s="35"/>
      <c r="AQ62" s="13"/>
    </row>
    <row r="63" spans="2:43" x14ac:dyDescent="0.3">
      <c r="B63" s="12"/>
      <c r="D63" s="34"/>
      <c r="Z63" s="35"/>
      <c r="AC63" s="34"/>
      <c r="AO63" s="35"/>
      <c r="AQ63" s="13"/>
    </row>
    <row r="64" spans="2:43" x14ac:dyDescent="0.3">
      <c r="B64" s="12"/>
      <c r="D64" s="34"/>
      <c r="Z64" s="35"/>
      <c r="AC64" s="34"/>
      <c r="AO64" s="35"/>
      <c r="AQ64" s="13"/>
    </row>
    <row r="65" spans="2:43" x14ac:dyDescent="0.3">
      <c r="B65" s="12"/>
      <c r="D65" s="34"/>
      <c r="Z65" s="35"/>
      <c r="AC65" s="34"/>
      <c r="AO65" s="35"/>
      <c r="AQ65" s="13"/>
    </row>
    <row r="66" spans="2:43" x14ac:dyDescent="0.3">
      <c r="B66" s="12"/>
      <c r="D66" s="34"/>
      <c r="Z66" s="35"/>
      <c r="AC66" s="34"/>
      <c r="AO66" s="35"/>
      <c r="AQ66" s="13"/>
    </row>
    <row r="67" spans="2:43" x14ac:dyDescent="0.3">
      <c r="B67" s="12"/>
      <c r="D67" s="34"/>
      <c r="Z67" s="35"/>
      <c r="AC67" s="34"/>
      <c r="AO67" s="35"/>
      <c r="AQ67" s="13"/>
    </row>
    <row r="68" spans="2:43" s="1" customFormat="1" ht="15" x14ac:dyDescent="0.25">
      <c r="B68" s="20"/>
      <c r="D68" s="36" t="s">
        <v>40</v>
      </c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8" t="s">
        <v>41</v>
      </c>
      <c r="S68" s="37"/>
      <c r="T68" s="37"/>
      <c r="U68" s="37"/>
      <c r="V68" s="37"/>
      <c r="W68" s="37"/>
      <c r="X68" s="37"/>
      <c r="Y68" s="37"/>
      <c r="Z68" s="39"/>
      <c r="AC68" s="36" t="s">
        <v>40</v>
      </c>
      <c r="AD68" s="37"/>
      <c r="AE68" s="37"/>
      <c r="AF68" s="37"/>
      <c r="AG68" s="37"/>
      <c r="AH68" s="37"/>
      <c r="AI68" s="37"/>
      <c r="AJ68" s="37"/>
      <c r="AK68" s="37"/>
      <c r="AL68" s="37"/>
      <c r="AM68" s="38" t="s">
        <v>41</v>
      </c>
      <c r="AN68" s="37"/>
      <c r="AO68" s="39"/>
      <c r="AQ68" s="21"/>
    </row>
    <row r="69" spans="2:43" s="1" customFormat="1" ht="6.95" customHeight="1" x14ac:dyDescent="0.25">
      <c r="B69" s="20"/>
      <c r="AQ69" s="21"/>
    </row>
    <row r="70" spans="2:43" s="1" customFormat="1" ht="6.95" customHeight="1" x14ac:dyDescent="0.25">
      <c r="B70" s="40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2"/>
    </row>
    <row r="74" spans="2:43" s="1" customFormat="1" ht="6.95" customHeight="1" x14ac:dyDescent="0.25">
      <c r="B74" s="43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5"/>
    </row>
    <row r="75" spans="2:43" s="1" customFormat="1" ht="36.950000000000003" customHeight="1" x14ac:dyDescent="0.25">
      <c r="B75" s="20"/>
      <c r="C75" s="324" t="s">
        <v>44</v>
      </c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  <c r="P75" s="329"/>
      <c r="Q75" s="329"/>
      <c r="R75" s="329"/>
      <c r="S75" s="329"/>
      <c r="T75" s="329"/>
      <c r="U75" s="329"/>
      <c r="V75" s="329"/>
      <c r="W75" s="329"/>
      <c r="X75" s="329"/>
      <c r="Y75" s="329"/>
      <c r="Z75" s="329"/>
      <c r="AA75" s="329"/>
      <c r="AB75" s="329"/>
      <c r="AC75" s="329"/>
      <c r="AD75" s="329"/>
      <c r="AE75" s="329"/>
      <c r="AF75" s="329"/>
      <c r="AG75" s="329"/>
      <c r="AH75" s="329"/>
      <c r="AI75" s="329"/>
      <c r="AJ75" s="329"/>
      <c r="AK75" s="329"/>
      <c r="AL75" s="329"/>
      <c r="AM75" s="329"/>
      <c r="AN75" s="329"/>
      <c r="AO75" s="329"/>
      <c r="AP75" s="329"/>
      <c r="AQ75" s="21"/>
    </row>
    <row r="76" spans="2:43" s="3" customFormat="1" ht="14.45" customHeight="1" x14ac:dyDescent="0.25">
      <c r="B76" s="46"/>
      <c r="C76" s="17" t="s">
        <v>5</v>
      </c>
      <c r="AQ76" s="47"/>
    </row>
    <row r="77" spans="2:43" s="4" customFormat="1" ht="18" x14ac:dyDescent="0.25">
      <c r="B77" s="48"/>
      <c r="C77" s="49" t="s">
        <v>6</v>
      </c>
      <c r="L77" s="338" t="str">
        <f>K5</f>
        <v>VÝSTAVBA CHODNÍKU TOPOL PODÉL SILNICE III/34034</v>
      </c>
      <c r="M77" s="339"/>
      <c r="N77" s="339"/>
      <c r="O77" s="339"/>
      <c r="P77" s="339"/>
      <c r="Q77" s="339"/>
      <c r="R77" s="339"/>
      <c r="S77" s="339"/>
      <c r="T77" s="339"/>
      <c r="U77" s="339"/>
      <c r="V77" s="339"/>
      <c r="W77" s="339"/>
      <c r="X77" s="339"/>
      <c r="Y77" s="339"/>
      <c r="Z77" s="339"/>
      <c r="AA77" s="339"/>
      <c r="AB77" s="339"/>
      <c r="AC77" s="339"/>
      <c r="AD77" s="339"/>
      <c r="AE77" s="339"/>
      <c r="AF77" s="339"/>
      <c r="AG77" s="339"/>
      <c r="AH77" s="339"/>
      <c r="AI77" s="339"/>
      <c r="AJ77" s="339"/>
      <c r="AK77" s="339"/>
      <c r="AL77" s="339"/>
      <c r="AM77" s="339"/>
      <c r="AN77" s="339"/>
      <c r="AO77" s="339"/>
      <c r="AQ77" s="50"/>
    </row>
    <row r="78" spans="2:43" s="1" customFormat="1" ht="6.95" customHeight="1" x14ac:dyDescent="0.25">
      <c r="B78" s="20"/>
      <c r="AQ78" s="21"/>
    </row>
    <row r="79" spans="2:43" s="1" customFormat="1" ht="15" x14ac:dyDescent="0.25">
      <c r="B79" s="20"/>
      <c r="C79" s="17" t="s">
        <v>12</v>
      </c>
      <c r="L79" s="51" t="str">
        <f>IF(K7="","",K7)</f>
        <v>p.č. 2/3, 2/8, 772, 444, 448, 406/3 a st.15 v k.ú. Topol</v>
      </c>
      <c r="AI79" s="17" t="s">
        <v>13</v>
      </c>
      <c r="AM79" s="337">
        <f xml:space="preserve"> IF(AN7= "","",AN7)</f>
        <v>46013</v>
      </c>
      <c r="AN79" s="337"/>
      <c r="AQ79" s="21"/>
    </row>
    <row r="80" spans="2:43" s="1" customFormat="1" ht="6.95" customHeight="1" x14ac:dyDescent="0.25">
      <c r="B80" s="20"/>
      <c r="AQ80" s="21"/>
    </row>
    <row r="81" spans="2:64" s="1" customFormat="1" ht="15" x14ac:dyDescent="0.25">
      <c r="B81" s="20"/>
      <c r="C81" s="17" t="s">
        <v>16</v>
      </c>
      <c r="L81" s="3" t="str">
        <f>IF(E10= "","",E10)</f>
        <v xml:space="preserve"> </v>
      </c>
      <c r="AI81" s="17" t="s">
        <v>21</v>
      </c>
      <c r="AM81" s="328" t="str">
        <f>IF(E16="","",E16)</f>
        <v xml:space="preserve"> </v>
      </c>
      <c r="AN81" s="329"/>
      <c r="AO81" s="329"/>
      <c r="AP81" s="329"/>
      <c r="AQ81" s="21"/>
    </row>
    <row r="82" spans="2:64" s="1" customFormat="1" ht="15" x14ac:dyDescent="0.25">
      <c r="B82" s="20"/>
      <c r="C82" s="17" t="s">
        <v>20</v>
      </c>
      <c r="L82" s="3" t="str">
        <f>IF(E13="","",E13)</f>
        <v xml:space="preserve"> </v>
      </c>
      <c r="AI82" s="17" t="s">
        <v>23</v>
      </c>
      <c r="AM82" s="328" t="str">
        <f>IF(E19="","",E19)</f>
        <v xml:space="preserve"> </v>
      </c>
      <c r="AN82" s="329"/>
      <c r="AO82" s="329"/>
      <c r="AP82" s="329"/>
      <c r="AQ82" s="21"/>
    </row>
    <row r="83" spans="2:64" s="1" customFormat="1" ht="10.9" customHeight="1" x14ac:dyDescent="0.25">
      <c r="B83" s="20"/>
      <c r="AQ83" s="21"/>
    </row>
    <row r="84" spans="2:64" s="1" customFormat="1" ht="29.25" customHeight="1" x14ac:dyDescent="0.25">
      <c r="B84" s="20"/>
      <c r="C84" s="335" t="s">
        <v>45</v>
      </c>
      <c r="D84" s="336"/>
      <c r="E84" s="336"/>
      <c r="F84" s="336"/>
      <c r="G84" s="336"/>
      <c r="H84" s="336"/>
      <c r="I84" s="336" t="s">
        <v>46</v>
      </c>
      <c r="J84" s="336"/>
      <c r="K84" s="336"/>
      <c r="L84" s="336"/>
      <c r="M84" s="336"/>
      <c r="N84" s="336"/>
      <c r="O84" s="336"/>
      <c r="P84" s="336"/>
      <c r="Q84" s="336"/>
      <c r="R84" s="336"/>
      <c r="S84" s="336"/>
      <c r="T84" s="336"/>
      <c r="U84" s="336"/>
      <c r="V84" s="336"/>
      <c r="W84" s="336"/>
      <c r="X84" s="336"/>
      <c r="Y84" s="336"/>
      <c r="Z84" s="336"/>
      <c r="AA84" s="336"/>
      <c r="AB84" s="336"/>
      <c r="AC84" s="336"/>
      <c r="AD84" s="336"/>
      <c r="AE84" s="336"/>
      <c r="AF84" s="336"/>
      <c r="AG84" s="336"/>
      <c r="AH84" s="336"/>
      <c r="AI84" s="336"/>
      <c r="AJ84" s="336" t="s">
        <v>47</v>
      </c>
      <c r="AK84" s="336"/>
      <c r="AL84" s="336"/>
      <c r="AM84" s="336"/>
      <c r="AN84" s="336" t="s">
        <v>48</v>
      </c>
      <c r="AO84" s="340"/>
      <c r="AP84" s="341"/>
      <c r="AQ84" s="21"/>
      <c r="AS84" s="183"/>
      <c r="AT84" s="183"/>
      <c r="AU84" s="183"/>
      <c r="AV84" s="183"/>
    </row>
    <row r="85" spans="2:64" s="1" customFormat="1" ht="10.9" customHeight="1" x14ac:dyDescent="0.25">
      <c r="B85" s="20"/>
      <c r="AQ85" s="21"/>
    </row>
    <row r="86" spans="2:64" s="4" customFormat="1" ht="32.450000000000003" customHeight="1" x14ac:dyDescent="0.25">
      <c r="B86" s="48"/>
      <c r="C86" s="53" t="s">
        <v>49</v>
      </c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H86" s="215"/>
      <c r="AI86" s="215"/>
      <c r="AJ86" s="311">
        <f>SUM(AH87:AM88)</f>
        <v>0</v>
      </c>
      <c r="AK86" s="311"/>
      <c r="AL86" s="311"/>
      <c r="AM86" s="311"/>
      <c r="AN86" s="308">
        <f t="shared" ref="AN86:AN88" si="0">AJ86*1.21</f>
        <v>0</v>
      </c>
      <c r="AO86" s="308"/>
      <c r="AP86" s="308"/>
      <c r="AQ86" s="50"/>
      <c r="AS86" s="260"/>
      <c r="AT86" s="260"/>
      <c r="AU86" s="260"/>
      <c r="AV86" s="260"/>
      <c r="AW86" s="260"/>
      <c r="BG86" s="49" t="s">
        <v>50</v>
      </c>
      <c r="BH86" s="49" t="s">
        <v>51</v>
      </c>
      <c r="BJ86" s="49" t="s">
        <v>52</v>
      </c>
      <c r="BK86" s="49" t="s">
        <v>53</v>
      </c>
      <c r="BL86" s="49" t="s">
        <v>54</v>
      </c>
    </row>
    <row r="87" spans="2:64" s="5" customFormat="1" ht="18" x14ac:dyDescent="0.25">
      <c r="B87" s="55"/>
      <c r="C87" s="56"/>
      <c r="D87" s="304" t="s">
        <v>219</v>
      </c>
      <c r="E87" s="305"/>
      <c r="F87" s="305"/>
      <c r="G87" s="305"/>
      <c r="H87" s="305"/>
      <c r="I87" s="307" t="str">
        <f>'IO.101 - Chodník'!F6</f>
        <v>IO.101 - CHODNÍK</v>
      </c>
      <c r="J87" s="307"/>
      <c r="K87" s="307"/>
      <c r="L87" s="307"/>
      <c r="M87" s="307"/>
      <c r="N87" s="307"/>
      <c r="O87" s="307"/>
      <c r="P87" s="307"/>
      <c r="Q87" s="307"/>
      <c r="R87" s="307"/>
      <c r="S87" s="307"/>
      <c r="T87" s="307"/>
      <c r="U87" s="307"/>
      <c r="V87" s="307"/>
      <c r="W87" s="307"/>
      <c r="X87" s="307"/>
      <c r="Y87" s="307"/>
      <c r="Z87" s="307"/>
      <c r="AA87" s="307"/>
      <c r="AB87" s="307"/>
      <c r="AC87" s="307"/>
      <c r="AD87" s="307"/>
      <c r="AE87" s="307"/>
      <c r="AF87" s="307"/>
      <c r="AG87" s="307"/>
      <c r="AH87" s="307"/>
      <c r="AI87" s="307"/>
      <c r="AJ87" s="306">
        <f>'IO.101 - Chodník'!M29</f>
        <v>0</v>
      </c>
      <c r="AK87" s="306"/>
      <c r="AL87" s="306"/>
      <c r="AM87" s="306"/>
      <c r="AN87" s="312">
        <f t="shared" si="0"/>
        <v>0</v>
      </c>
      <c r="AO87" s="312"/>
      <c r="AP87" s="312"/>
      <c r="AQ87" s="57"/>
      <c r="AU87" s="216"/>
      <c r="AV87" s="216"/>
      <c r="AW87" s="215"/>
      <c r="AX87" s="216"/>
      <c r="AY87" s="216"/>
      <c r="BH87" s="58"/>
      <c r="BI87" s="58"/>
      <c r="BJ87" s="58"/>
      <c r="BK87" s="58"/>
      <c r="BL87" s="58"/>
    </row>
    <row r="88" spans="2:64" s="5" customFormat="1" ht="18" x14ac:dyDescent="0.25">
      <c r="B88" s="55"/>
      <c r="C88" s="56"/>
      <c r="D88" s="304" t="s">
        <v>168</v>
      </c>
      <c r="E88" s="305"/>
      <c r="F88" s="305"/>
      <c r="G88" s="305"/>
      <c r="H88" s="305"/>
      <c r="I88" s="307" t="s">
        <v>169</v>
      </c>
      <c r="J88" s="307"/>
      <c r="K88" s="307"/>
      <c r="L88" s="307"/>
      <c r="M88" s="307"/>
      <c r="N88" s="307"/>
      <c r="O88" s="307"/>
      <c r="P88" s="307"/>
      <c r="Q88" s="307"/>
      <c r="R88" s="307"/>
      <c r="S88" s="307"/>
      <c r="T88" s="307"/>
      <c r="U88" s="307"/>
      <c r="V88" s="307"/>
      <c r="W88" s="307"/>
      <c r="X88" s="307"/>
      <c r="Y88" s="307"/>
      <c r="Z88" s="307"/>
      <c r="AA88" s="307"/>
      <c r="AB88" s="307"/>
      <c r="AC88" s="307"/>
      <c r="AD88" s="307"/>
      <c r="AE88" s="307"/>
      <c r="AF88" s="307"/>
      <c r="AH88" s="216"/>
      <c r="AI88" s="216"/>
      <c r="AJ88" s="306">
        <f>VRN!M29</f>
        <v>0</v>
      </c>
      <c r="AK88" s="306"/>
      <c r="AL88" s="306"/>
      <c r="AM88" s="306"/>
      <c r="AN88" s="312">
        <f t="shared" si="0"/>
        <v>0</v>
      </c>
      <c r="AO88" s="312"/>
      <c r="AP88" s="312"/>
      <c r="AQ88" s="57"/>
      <c r="AS88" s="216"/>
      <c r="AT88" s="216"/>
      <c r="AU88" s="216"/>
      <c r="AV88" s="216"/>
      <c r="AW88" s="215"/>
      <c r="AX88" s="259"/>
      <c r="AY88" s="259"/>
      <c r="BH88" s="58"/>
      <c r="BI88" s="58"/>
      <c r="BJ88" s="58"/>
      <c r="BK88" s="58"/>
      <c r="BL88" s="58"/>
    </row>
    <row r="89" spans="2:64" x14ac:dyDescent="0.3">
      <c r="B89" s="12"/>
      <c r="AH89" s="84"/>
      <c r="AI89" s="84"/>
      <c r="AJ89" s="220"/>
      <c r="AK89" s="220"/>
      <c r="AL89" s="220"/>
      <c r="AM89" s="220"/>
      <c r="AN89" s="84"/>
      <c r="AO89" s="84"/>
      <c r="AP89" s="84"/>
      <c r="AQ89" s="13"/>
    </row>
    <row r="90" spans="2:64" s="1" customFormat="1" ht="30" customHeight="1" x14ac:dyDescent="0.25">
      <c r="B90" s="20"/>
      <c r="C90" s="53" t="s">
        <v>55</v>
      </c>
      <c r="AH90" s="85"/>
      <c r="AI90" s="85"/>
      <c r="AJ90" s="311">
        <v>0</v>
      </c>
      <c r="AK90" s="311"/>
      <c r="AL90" s="311"/>
      <c r="AM90" s="311"/>
      <c r="AN90" s="308">
        <v>0</v>
      </c>
      <c r="AO90" s="309"/>
      <c r="AP90" s="309"/>
      <c r="AQ90" s="21"/>
    </row>
    <row r="91" spans="2:64" s="1" customFormat="1" ht="10.9" customHeight="1" x14ac:dyDescent="0.25">
      <c r="B91" s="20"/>
      <c r="AG91" s="85"/>
      <c r="AH91" s="85"/>
      <c r="AI91" s="85"/>
      <c r="AJ91" s="85"/>
      <c r="AK91" s="85"/>
      <c r="AL91" s="85"/>
      <c r="AM91" s="85"/>
      <c r="AN91" s="85"/>
      <c r="AO91" s="85"/>
      <c r="AP91" s="85"/>
      <c r="AQ91" s="21"/>
    </row>
    <row r="92" spans="2:64" s="1" customFormat="1" ht="30" customHeight="1" x14ac:dyDescent="0.25">
      <c r="B92" s="20"/>
      <c r="C92" s="59" t="s">
        <v>56</v>
      </c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310">
        <f>ROUND(AJ86+AJ90,2)</f>
        <v>0</v>
      </c>
      <c r="AH92" s="310"/>
      <c r="AI92" s="310"/>
      <c r="AJ92" s="310"/>
      <c r="AK92" s="310"/>
      <c r="AL92" s="310"/>
      <c r="AM92" s="310"/>
      <c r="AN92" s="310">
        <f>AN86+AN90</f>
        <v>0</v>
      </c>
      <c r="AO92" s="310"/>
      <c r="AP92" s="310"/>
      <c r="AQ92" s="21"/>
    </row>
    <row r="93" spans="2:64" s="1" customFormat="1" ht="6.95" customHeight="1" x14ac:dyDescent="0.25"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2"/>
    </row>
  </sheetData>
  <mergeCells count="48">
    <mergeCell ref="C84:H84"/>
    <mergeCell ref="D88:H88"/>
    <mergeCell ref="AM79:AN79"/>
    <mergeCell ref="L77:AO77"/>
    <mergeCell ref="AM82:AP82"/>
    <mergeCell ref="AN84:AP84"/>
    <mergeCell ref="AJ84:AM84"/>
    <mergeCell ref="I84:AI84"/>
    <mergeCell ref="L34:O34"/>
    <mergeCell ref="W34:AE34"/>
    <mergeCell ref="AK34:AO34"/>
    <mergeCell ref="AM81:AP81"/>
    <mergeCell ref="X36:AB36"/>
    <mergeCell ref="AK36:AO36"/>
    <mergeCell ref="C75:AP75"/>
    <mergeCell ref="C1:AP1"/>
    <mergeCell ref="C3:AP3"/>
    <mergeCell ref="K4:AO4"/>
    <mergeCell ref="K5:AO5"/>
    <mergeCell ref="E22:AN22"/>
    <mergeCell ref="AK25:AO25"/>
    <mergeCell ref="AK30:AO30"/>
    <mergeCell ref="AK26:AO26"/>
    <mergeCell ref="L33:O33"/>
    <mergeCell ref="W33:AE33"/>
    <mergeCell ref="AK33:AO33"/>
    <mergeCell ref="L31:O31"/>
    <mergeCell ref="W31:AE31"/>
    <mergeCell ref="AK31:AO31"/>
    <mergeCell ref="L32:O32"/>
    <mergeCell ref="W32:AE32"/>
    <mergeCell ref="AK32:AO32"/>
    <mergeCell ref="AK28:AO28"/>
    <mergeCell ref="L30:O30"/>
    <mergeCell ref="W30:AE30"/>
    <mergeCell ref="AG92:AM92"/>
    <mergeCell ref="AN92:AP92"/>
    <mergeCell ref="AJ86:AM86"/>
    <mergeCell ref="AJ90:AM90"/>
    <mergeCell ref="AN87:AP87"/>
    <mergeCell ref="AJ88:AM88"/>
    <mergeCell ref="AN88:AP88"/>
    <mergeCell ref="D87:H87"/>
    <mergeCell ref="AJ87:AM87"/>
    <mergeCell ref="I87:AI87"/>
    <mergeCell ref="AN90:AP90"/>
    <mergeCell ref="AN86:AP86"/>
    <mergeCell ref="I88:AF88"/>
  </mergeCells>
  <phoneticPr fontId="36" type="noConversion"/>
  <pageMargins left="0.59055118110236227" right="0.59055118110236227" top="0.51181102362204722" bottom="0.47244094488188981" header="0" footer="0"/>
  <pageSetup paperSize="9" scale="73" orientation="portrait" errors="blank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B1:XER277"/>
  <sheetViews>
    <sheetView topLeftCell="A74" workbookViewId="0">
      <selection activeCell="N264" sqref="N264"/>
    </sheetView>
  </sheetViews>
  <sheetFormatPr defaultColWidth="9.28515625" defaultRowHeight="13.5" x14ac:dyDescent="0.3"/>
  <cols>
    <col min="1" max="1" width="8.28515625" customWidth="1"/>
    <col min="2" max="2" width="1.7109375" customWidth="1"/>
    <col min="3" max="3" width="4.140625" customWidth="1"/>
    <col min="4" max="4" width="3.7109375" customWidth="1"/>
    <col min="5" max="5" width="11.7109375" customWidth="1"/>
    <col min="6" max="7" width="11.140625" customWidth="1"/>
    <col min="8" max="8" width="12.42578125" customWidth="1"/>
    <col min="9" max="9" width="7.7109375" customWidth="1"/>
    <col min="10" max="10" width="4.42578125" customWidth="1"/>
    <col min="11" max="11" width="9.28515625" customWidth="1"/>
    <col min="12" max="12" width="8" bestFit="1" customWidth="1"/>
    <col min="13" max="13" width="11.7109375" bestFit="1" customWidth="1"/>
    <col min="14" max="14" width="7.5703125" style="84" bestFit="1" customWidth="1"/>
    <col min="15" max="15" width="11.85546875" style="84" bestFit="1" customWidth="1"/>
    <col min="16" max="16" width="7.28515625" style="84" bestFit="1" customWidth="1"/>
    <col min="17" max="17" width="10" style="84" customWidth="1"/>
    <col min="18" max="18" width="2.140625" customWidth="1"/>
    <col min="19" max="19" width="3.42578125" customWidth="1"/>
    <col min="20" max="20" width="8.5703125" bestFit="1" customWidth="1"/>
    <col min="21" max="21" width="1.85546875" customWidth="1"/>
    <col min="22" max="22" width="6.5703125" bestFit="1" customWidth="1"/>
    <col min="23" max="23" width="7.42578125" customWidth="1"/>
  </cols>
  <sheetData>
    <row r="1" spans="2:18" ht="17.25" customHeight="1" x14ac:dyDescent="0.3">
      <c r="C1" s="322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</row>
    <row r="2" spans="2:18" ht="6.95" customHeight="1" x14ac:dyDescent="0.3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83"/>
      <c r="O2" s="83"/>
      <c r="P2" s="83"/>
      <c r="Q2" s="83"/>
      <c r="R2" s="11"/>
    </row>
    <row r="3" spans="2:18" ht="36.950000000000003" customHeight="1" x14ac:dyDescent="0.3">
      <c r="B3" s="12"/>
      <c r="C3" s="324" t="s">
        <v>57</v>
      </c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13"/>
    </row>
    <row r="4" spans="2:18" ht="6.95" customHeight="1" x14ac:dyDescent="0.3">
      <c r="B4" s="12"/>
      <c r="R4" s="13"/>
    </row>
    <row r="5" spans="2:18" s="1" customFormat="1" ht="18" x14ac:dyDescent="0.25">
      <c r="B5" s="20"/>
      <c r="D5" s="16" t="s">
        <v>6</v>
      </c>
      <c r="F5" s="326" t="str">
        <f>'Rekapitulace stavby'!K5</f>
        <v>VÝSTAVBA CHODNÍKU TOPOL PODÉL SILNICE III/34034</v>
      </c>
      <c r="G5" s="329"/>
      <c r="H5" s="329"/>
      <c r="I5" s="329"/>
      <c r="J5" s="329"/>
      <c r="K5" s="329"/>
      <c r="L5" s="329"/>
      <c r="M5" s="329"/>
      <c r="N5" s="329"/>
      <c r="O5" s="329"/>
      <c r="P5" s="329"/>
      <c r="Q5" s="85"/>
      <c r="R5" s="21"/>
    </row>
    <row r="6" spans="2:18" s="1" customFormat="1" ht="18" x14ac:dyDescent="0.25">
      <c r="B6" s="20"/>
      <c r="D6" s="16" t="s">
        <v>119</v>
      </c>
      <c r="F6" s="326" t="s">
        <v>215</v>
      </c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85"/>
      <c r="R6" s="21"/>
    </row>
    <row r="7" spans="2:18" s="1" customFormat="1" ht="14.45" customHeight="1" x14ac:dyDescent="0.25">
      <c r="B7" s="20"/>
      <c r="D7" s="17" t="s">
        <v>8</v>
      </c>
      <c r="F7" s="15" t="s">
        <v>9</v>
      </c>
      <c r="M7" s="17" t="s">
        <v>10</v>
      </c>
      <c r="N7" s="85"/>
      <c r="O7" s="117" t="s">
        <v>9</v>
      </c>
      <c r="P7" s="85"/>
      <c r="Q7" s="85"/>
      <c r="R7" s="21"/>
    </row>
    <row r="8" spans="2:18" s="1" customFormat="1" ht="14.45" customHeight="1" x14ac:dyDescent="0.25">
      <c r="B8" s="20"/>
      <c r="D8" s="17" t="s">
        <v>12</v>
      </c>
      <c r="F8" s="15" t="str">
        <f>'Rekapitulace stavby'!K7</f>
        <v>p.č. 2/3, 2/8, 772, 444, 448, 406/3 a st.15 v k.ú. Topol</v>
      </c>
      <c r="M8" s="17" t="s">
        <v>13</v>
      </c>
      <c r="N8" s="85"/>
      <c r="O8" s="346">
        <f>'Rekapitulace stavby'!AN7</f>
        <v>46013</v>
      </c>
      <c r="P8" s="347"/>
      <c r="Q8" s="85"/>
      <c r="R8" s="21"/>
    </row>
    <row r="9" spans="2:18" s="1" customFormat="1" ht="10.9" customHeight="1" x14ac:dyDescent="0.25">
      <c r="B9" s="20"/>
      <c r="N9" s="85"/>
      <c r="O9" s="85"/>
      <c r="P9" s="85"/>
      <c r="Q9" s="85"/>
      <c r="R9" s="21"/>
    </row>
    <row r="10" spans="2:18" s="1" customFormat="1" ht="14.45" customHeight="1" x14ac:dyDescent="0.25">
      <c r="B10" s="20"/>
      <c r="D10" s="17" t="s">
        <v>16</v>
      </c>
      <c r="F10" s="1" t="str">
        <f>'Rekapitulace stavby'!K9</f>
        <v>Město Chrudim, Resselovo náměstí 77, 537 16 Chrudim</v>
      </c>
      <c r="M10" s="17" t="s">
        <v>17</v>
      </c>
      <c r="N10" s="85"/>
      <c r="O10" s="348" t="str">
        <f>'Rekapitulace stavby'!AN9</f>
        <v>00270211</v>
      </c>
      <c r="P10" s="349"/>
      <c r="Q10" s="85"/>
      <c r="R10" s="21"/>
    </row>
    <row r="11" spans="2:18" s="1" customFormat="1" ht="18" customHeight="1" x14ac:dyDescent="0.25">
      <c r="B11" s="20"/>
      <c r="E11" s="15" t="s">
        <v>18</v>
      </c>
      <c r="M11" s="17" t="s">
        <v>19</v>
      </c>
      <c r="N11" s="85"/>
      <c r="O11" s="345" t="s">
        <v>9</v>
      </c>
      <c r="P11" s="309"/>
      <c r="Q11" s="85"/>
      <c r="R11" s="21"/>
    </row>
    <row r="12" spans="2:18" s="1" customFormat="1" ht="6.95" customHeight="1" x14ac:dyDescent="0.25">
      <c r="B12" s="20"/>
      <c r="N12" s="85"/>
      <c r="O12" s="85"/>
      <c r="P12" s="85"/>
      <c r="Q12" s="85"/>
      <c r="R12" s="21"/>
    </row>
    <row r="13" spans="2:18" s="1" customFormat="1" ht="14.45" customHeight="1" x14ac:dyDescent="0.25">
      <c r="B13" s="20"/>
      <c r="D13" s="17" t="s">
        <v>20</v>
      </c>
      <c r="M13" s="17" t="s">
        <v>17</v>
      </c>
      <c r="N13" s="85"/>
      <c r="O13" s="345" t="s">
        <v>9</v>
      </c>
      <c r="P13" s="309"/>
      <c r="Q13" s="85"/>
      <c r="R13" s="21"/>
    </row>
    <row r="14" spans="2:18" s="1" customFormat="1" ht="18" customHeight="1" x14ac:dyDescent="0.25">
      <c r="B14" s="20"/>
      <c r="E14" s="15" t="s">
        <v>18</v>
      </c>
      <c r="M14" s="17" t="s">
        <v>19</v>
      </c>
      <c r="N14" s="85"/>
      <c r="O14" s="345" t="s">
        <v>9</v>
      </c>
      <c r="P14" s="309"/>
      <c r="Q14" s="85"/>
      <c r="R14" s="21"/>
    </row>
    <row r="15" spans="2:18" s="1" customFormat="1" ht="6.95" customHeight="1" x14ac:dyDescent="0.25">
      <c r="B15" s="20"/>
      <c r="N15" s="85"/>
      <c r="O15" s="85"/>
      <c r="P15" s="85"/>
      <c r="Q15" s="85"/>
      <c r="R15" s="21"/>
    </row>
    <row r="16" spans="2:18" s="1" customFormat="1" ht="14.45" customHeight="1" x14ac:dyDescent="0.25">
      <c r="B16" s="20"/>
      <c r="D16" s="17" t="s">
        <v>21</v>
      </c>
      <c r="M16" s="17" t="s">
        <v>17</v>
      </c>
      <c r="N16" s="85"/>
      <c r="O16" s="345" t="s">
        <v>9</v>
      </c>
      <c r="P16" s="309"/>
      <c r="Q16" s="85"/>
      <c r="R16" s="21"/>
    </row>
    <row r="17" spans="2:18" s="1" customFormat="1" ht="18" customHeight="1" x14ac:dyDescent="0.25">
      <c r="B17" s="20"/>
      <c r="E17" s="15" t="s">
        <v>18</v>
      </c>
      <c r="M17" s="17" t="s">
        <v>19</v>
      </c>
      <c r="N17" s="85"/>
      <c r="O17" s="345" t="s">
        <v>9</v>
      </c>
      <c r="P17" s="309"/>
      <c r="Q17" s="85"/>
      <c r="R17" s="21"/>
    </row>
    <row r="18" spans="2:18" s="1" customFormat="1" ht="6.95" customHeight="1" x14ac:dyDescent="0.25">
      <c r="B18" s="20"/>
      <c r="N18" s="85"/>
      <c r="O18" s="85"/>
      <c r="P18" s="85"/>
      <c r="Q18" s="85"/>
      <c r="R18" s="21"/>
    </row>
    <row r="19" spans="2:18" s="1" customFormat="1" ht="14.45" customHeight="1" x14ac:dyDescent="0.25">
      <c r="B19" s="20"/>
      <c r="D19" s="17" t="s">
        <v>23</v>
      </c>
      <c r="M19" s="17" t="s">
        <v>17</v>
      </c>
      <c r="N19" s="85"/>
      <c r="O19" s="345" t="s">
        <v>9</v>
      </c>
      <c r="P19" s="309"/>
      <c r="Q19" s="85"/>
      <c r="R19" s="21"/>
    </row>
    <row r="20" spans="2:18" s="1" customFormat="1" ht="18" customHeight="1" x14ac:dyDescent="0.25">
      <c r="B20" s="20"/>
      <c r="E20" s="15" t="s">
        <v>18</v>
      </c>
      <c r="M20" s="17" t="s">
        <v>19</v>
      </c>
      <c r="N20" s="85"/>
      <c r="O20" s="345" t="s">
        <v>9</v>
      </c>
      <c r="P20" s="309"/>
      <c r="Q20" s="85"/>
      <c r="R20" s="21"/>
    </row>
    <row r="21" spans="2:18" s="1" customFormat="1" ht="6.95" customHeight="1" x14ac:dyDescent="0.25">
      <c r="B21" s="20"/>
      <c r="N21" s="85"/>
      <c r="O21" s="85"/>
      <c r="P21" s="85"/>
      <c r="Q21" s="85"/>
      <c r="R21" s="21"/>
    </row>
    <row r="22" spans="2:18" s="1" customFormat="1" ht="14.45" customHeight="1" x14ac:dyDescent="0.25">
      <c r="B22" s="20"/>
      <c r="D22" s="17" t="s">
        <v>24</v>
      </c>
      <c r="N22" s="85"/>
      <c r="O22" s="85"/>
      <c r="P22" s="85"/>
      <c r="Q22" s="85"/>
      <c r="R22" s="21"/>
    </row>
    <row r="23" spans="2:18" s="1" customFormat="1" ht="22.5" customHeight="1" x14ac:dyDescent="0.25">
      <c r="B23" s="20"/>
      <c r="E23" s="327" t="s">
        <v>9</v>
      </c>
      <c r="F23" s="329"/>
      <c r="G23" s="329"/>
      <c r="H23" s="329"/>
      <c r="I23" s="329"/>
      <c r="J23" s="329"/>
      <c r="K23" s="329"/>
      <c r="L23" s="329"/>
      <c r="N23" s="85"/>
      <c r="O23" s="85"/>
      <c r="P23" s="85"/>
      <c r="Q23" s="85"/>
      <c r="R23" s="21"/>
    </row>
    <row r="24" spans="2:18" s="1" customFormat="1" ht="6.95" customHeight="1" x14ac:dyDescent="0.25">
      <c r="B24" s="20"/>
      <c r="N24" s="85"/>
      <c r="O24" s="85"/>
      <c r="P24" s="85"/>
      <c r="Q24" s="85"/>
      <c r="R24" s="21"/>
    </row>
    <row r="25" spans="2:18" s="1" customFormat="1" ht="6.95" customHeight="1" x14ac:dyDescent="0.25">
      <c r="B25" s="20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86"/>
      <c r="O25" s="86"/>
      <c r="P25" s="86"/>
      <c r="Q25" s="85"/>
      <c r="R25" s="21"/>
    </row>
    <row r="26" spans="2:18" s="1" customFormat="1" ht="14.45" customHeight="1" x14ac:dyDescent="0.25">
      <c r="B26" s="20"/>
      <c r="D26" s="118" t="s">
        <v>58</v>
      </c>
      <c r="H26" s="85"/>
      <c r="I26" s="85"/>
      <c r="J26" s="85"/>
      <c r="K26" s="85"/>
      <c r="L26" s="85"/>
      <c r="M26" s="313">
        <f>O88</f>
        <v>0</v>
      </c>
      <c r="N26" s="309"/>
      <c r="O26" s="309"/>
      <c r="P26" s="309"/>
      <c r="Q26" s="85"/>
      <c r="R26" s="21"/>
    </row>
    <row r="27" spans="2:18" s="1" customFormat="1" ht="14.45" customHeight="1" x14ac:dyDescent="0.25">
      <c r="B27" s="20"/>
      <c r="D27" s="19" t="s">
        <v>59</v>
      </c>
      <c r="H27" s="85"/>
      <c r="I27" s="85"/>
      <c r="J27" s="85"/>
      <c r="K27" s="85"/>
      <c r="L27" s="85"/>
      <c r="M27" s="313">
        <f>O96</f>
        <v>0</v>
      </c>
      <c r="N27" s="309"/>
      <c r="O27" s="309"/>
      <c r="P27" s="309"/>
      <c r="Q27" s="85"/>
      <c r="R27" s="21"/>
    </row>
    <row r="28" spans="2:18" s="1" customFormat="1" ht="6.95" customHeight="1" x14ac:dyDescent="0.25">
      <c r="B28" s="20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21"/>
    </row>
    <row r="29" spans="2:18" s="1" customFormat="1" ht="25.35" customHeight="1" x14ac:dyDescent="0.25">
      <c r="B29" s="20"/>
      <c r="D29" s="119" t="s">
        <v>27</v>
      </c>
      <c r="H29" s="85"/>
      <c r="I29" s="85"/>
      <c r="J29" s="85"/>
      <c r="K29" s="85"/>
      <c r="L29" s="85"/>
      <c r="M29" s="350">
        <f>ROUND(M26+M27,2)</f>
        <v>0</v>
      </c>
      <c r="N29" s="309"/>
      <c r="O29" s="309"/>
      <c r="P29" s="309"/>
      <c r="Q29" s="85"/>
      <c r="R29" s="21"/>
    </row>
    <row r="30" spans="2:18" s="1" customFormat="1" ht="6.95" customHeight="1" x14ac:dyDescent="0.25">
      <c r="B30" s="20"/>
      <c r="D30" s="32"/>
      <c r="E30" s="32"/>
      <c r="F30" s="32"/>
      <c r="G30" s="32"/>
      <c r="H30" s="86"/>
      <c r="I30" s="86"/>
      <c r="J30" s="86"/>
      <c r="K30" s="86"/>
      <c r="L30" s="86"/>
      <c r="M30" s="86"/>
      <c r="N30" s="86"/>
      <c r="O30" s="86"/>
      <c r="P30" s="86"/>
      <c r="Q30" s="85"/>
      <c r="R30" s="21"/>
    </row>
    <row r="31" spans="2:18" s="1" customFormat="1" ht="14.45" customHeight="1" x14ac:dyDescent="0.25">
      <c r="B31" s="20"/>
      <c r="D31" s="25" t="s">
        <v>28</v>
      </c>
      <c r="E31" s="25" t="s">
        <v>29</v>
      </c>
      <c r="F31" s="120">
        <v>0.21</v>
      </c>
      <c r="G31" s="121" t="s">
        <v>30</v>
      </c>
      <c r="H31" s="316">
        <f>M29</f>
        <v>0</v>
      </c>
      <c r="I31" s="309"/>
      <c r="J31" s="309"/>
      <c r="K31" s="85"/>
      <c r="L31" s="85"/>
      <c r="M31" s="316">
        <f>H31*F31</f>
        <v>0</v>
      </c>
      <c r="N31" s="309"/>
      <c r="O31" s="309"/>
      <c r="P31" s="309"/>
      <c r="Q31" s="85"/>
      <c r="R31" s="21"/>
    </row>
    <row r="32" spans="2:18" s="1" customFormat="1" ht="14.45" customHeight="1" x14ac:dyDescent="0.25">
      <c r="B32" s="20"/>
      <c r="E32" s="25" t="s">
        <v>31</v>
      </c>
      <c r="F32" s="120">
        <v>0.12</v>
      </c>
      <c r="G32" s="121" t="s">
        <v>30</v>
      </c>
      <c r="H32" s="316"/>
      <c r="I32" s="309"/>
      <c r="J32" s="309"/>
      <c r="K32" s="85"/>
      <c r="L32" s="85"/>
      <c r="M32" s="316"/>
      <c r="N32" s="309"/>
      <c r="O32" s="309"/>
      <c r="P32" s="309"/>
      <c r="Q32" s="85"/>
      <c r="R32" s="21"/>
    </row>
    <row r="33" spans="2:18" s="1" customFormat="1" ht="14.45" hidden="1" customHeight="1" x14ac:dyDescent="0.25">
      <c r="B33" s="20"/>
      <c r="E33" s="25" t="s">
        <v>32</v>
      </c>
      <c r="F33" s="120">
        <v>0.21</v>
      </c>
      <c r="G33" s="121" t="s">
        <v>30</v>
      </c>
      <c r="H33" s="316" t="e">
        <f>ROUND((SUM(#REF!)+SUM(#REF!)), 2)</f>
        <v>#REF!</v>
      </c>
      <c r="I33" s="309"/>
      <c r="J33" s="309"/>
      <c r="K33" s="85"/>
      <c r="L33" s="85"/>
      <c r="M33" s="316">
        <v>0</v>
      </c>
      <c r="N33" s="309"/>
      <c r="O33" s="309"/>
      <c r="P33" s="309"/>
      <c r="Q33" s="85"/>
      <c r="R33" s="21"/>
    </row>
    <row r="34" spans="2:18" s="1" customFormat="1" ht="14.45" hidden="1" customHeight="1" x14ac:dyDescent="0.25">
      <c r="B34" s="20"/>
      <c r="E34" s="25" t="s">
        <v>33</v>
      </c>
      <c r="F34" s="120">
        <v>0.15</v>
      </c>
      <c r="G34" s="121" t="s">
        <v>30</v>
      </c>
      <c r="H34" s="316" t="e">
        <f>ROUND((SUM(#REF!)+SUM(#REF!)), 2)</f>
        <v>#REF!</v>
      </c>
      <c r="I34" s="309"/>
      <c r="J34" s="309"/>
      <c r="K34" s="85"/>
      <c r="L34" s="85"/>
      <c r="M34" s="316">
        <v>0</v>
      </c>
      <c r="N34" s="309"/>
      <c r="O34" s="309"/>
      <c r="P34" s="309"/>
      <c r="Q34" s="85"/>
      <c r="R34" s="21"/>
    </row>
    <row r="35" spans="2:18" s="1" customFormat="1" ht="14.45" hidden="1" customHeight="1" x14ac:dyDescent="0.25">
      <c r="B35" s="20"/>
      <c r="E35" s="25" t="s">
        <v>34</v>
      </c>
      <c r="F35" s="120">
        <v>0</v>
      </c>
      <c r="G35" s="121" t="s">
        <v>30</v>
      </c>
      <c r="H35" s="316" t="e">
        <f>ROUND((SUM(#REF!)+SUM(#REF!)), 2)</f>
        <v>#REF!</v>
      </c>
      <c r="I35" s="309"/>
      <c r="J35" s="309"/>
      <c r="K35" s="85"/>
      <c r="L35" s="85"/>
      <c r="M35" s="316">
        <v>0</v>
      </c>
      <c r="N35" s="309"/>
      <c r="O35" s="309"/>
      <c r="P35" s="309"/>
      <c r="Q35" s="85"/>
      <c r="R35" s="21"/>
    </row>
    <row r="36" spans="2:18" s="1" customFormat="1" ht="6.95" customHeight="1" x14ac:dyDescent="0.25">
      <c r="B36" s="20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21"/>
    </row>
    <row r="37" spans="2:18" s="1" customFormat="1" ht="25.35" customHeight="1" x14ac:dyDescent="0.25">
      <c r="B37" s="20"/>
      <c r="D37" s="61" t="s">
        <v>35</v>
      </c>
      <c r="E37" s="52"/>
      <c r="F37" s="52"/>
      <c r="G37" s="62" t="s">
        <v>36</v>
      </c>
      <c r="H37" s="131" t="s">
        <v>37</v>
      </c>
      <c r="I37" s="132"/>
      <c r="J37" s="132"/>
      <c r="K37" s="132"/>
      <c r="L37" s="354">
        <f>SUM(M29:M35)</f>
        <v>0</v>
      </c>
      <c r="M37" s="355"/>
      <c r="N37" s="355"/>
      <c r="O37" s="355"/>
      <c r="P37" s="356"/>
      <c r="Q37" s="85"/>
      <c r="R37" s="21"/>
    </row>
    <row r="38" spans="2:18" s="1" customFormat="1" ht="14.45" customHeight="1" x14ac:dyDescent="0.25">
      <c r="B38" s="20"/>
      <c r="N38" s="85"/>
      <c r="O38" s="85"/>
      <c r="P38" s="85"/>
      <c r="Q38" s="85"/>
      <c r="R38" s="21"/>
    </row>
    <row r="39" spans="2:18" s="1" customFormat="1" ht="14.45" customHeight="1" x14ac:dyDescent="0.25">
      <c r="B39" s="20"/>
      <c r="N39" s="85"/>
      <c r="O39" s="85"/>
      <c r="P39" s="85"/>
      <c r="Q39" s="85"/>
      <c r="R39" s="21"/>
    </row>
    <row r="40" spans="2:18" x14ac:dyDescent="0.3">
      <c r="B40" s="12"/>
      <c r="R40" s="13"/>
    </row>
    <row r="41" spans="2:18" x14ac:dyDescent="0.3">
      <c r="B41" s="12"/>
      <c r="R41" s="13"/>
    </row>
    <row r="42" spans="2:18" x14ac:dyDescent="0.3">
      <c r="B42" s="12"/>
      <c r="R42" s="13"/>
    </row>
    <row r="43" spans="2:18" x14ac:dyDescent="0.3">
      <c r="B43" s="12"/>
      <c r="R43" s="13"/>
    </row>
    <row r="44" spans="2:18" x14ac:dyDescent="0.3">
      <c r="B44" s="12"/>
      <c r="R44" s="13"/>
    </row>
    <row r="45" spans="2:18" x14ac:dyDescent="0.3">
      <c r="B45" s="12"/>
      <c r="R45" s="13"/>
    </row>
    <row r="46" spans="2:18" x14ac:dyDescent="0.3">
      <c r="B46" s="12"/>
      <c r="R46" s="13"/>
    </row>
    <row r="47" spans="2:18" x14ac:dyDescent="0.3">
      <c r="B47" s="12"/>
      <c r="R47" s="13"/>
    </row>
    <row r="48" spans="2:18" x14ac:dyDescent="0.3">
      <c r="B48" s="12"/>
      <c r="R48" s="13"/>
    </row>
    <row r="49" spans="2:18" x14ac:dyDescent="0.3">
      <c r="B49" s="12"/>
      <c r="R49" s="13"/>
    </row>
    <row r="50" spans="2:18" s="1" customFormat="1" ht="15" x14ac:dyDescent="0.25">
      <c r="B50" s="20"/>
      <c r="D50" s="31" t="s">
        <v>38</v>
      </c>
      <c r="E50" s="32"/>
      <c r="F50" s="32"/>
      <c r="G50" s="32"/>
      <c r="H50" s="33"/>
      <c r="J50" s="31" t="s">
        <v>39</v>
      </c>
      <c r="K50" s="32"/>
      <c r="L50" s="32"/>
      <c r="M50" s="32"/>
      <c r="N50" s="86"/>
      <c r="O50" s="86"/>
      <c r="P50" s="87"/>
      <c r="Q50" s="85"/>
      <c r="R50" s="21"/>
    </row>
    <row r="51" spans="2:18" x14ac:dyDescent="0.3">
      <c r="B51" s="12"/>
      <c r="D51" s="34"/>
      <c r="H51" s="35"/>
      <c r="J51" s="34"/>
      <c r="P51" s="88"/>
      <c r="R51" s="13"/>
    </row>
    <row r="52" spans="2:18" x14ac:dyDescent="0.3">
      <c r="B52" s="12"/>
      <c r="D52" s="34"/>
      <c r="H52" s="35"/>
      <c r="J52" s="34"/>
      <c r="P52" s="88"/>
      <c r="R52" s="13"/>
    </row>
    <row r="53" spans="2:18" x14ac:dyDescent="0.3">
      <c r="B53" s="12"/>
      <c r="D53" s="34"/>
      <c r="H53" s="35"/>
      <c r="J53" s="34"/>
      <c r="P53" s="88"/>
      <c r="R53" s="13"/>
    </row>
    <row r="54" spans="2:18" x14ac:dyDescent="0.3">
      <c r="B54" s="12"/>
      <c r="D54" s="34"/>
      <c r="H54" s="35"/>
      <c r="J54" s="34"/>
      <c r="P54" s="88"/>
      <c r="R54" s="13"/>
    </row>
    <row r="55" spans="2:18" x14ac:dyDescent="0.3">
      <c r="B55" s="12"/>
      <c r="D55" s="34"/>
      <c r="H55" s="35"/>
      <c r="J55" s="34"/>
      <c r="P55" s="88"/>
      <c r="R55" s="13"/>
    </row>
    <row r="56" spans="2:18" x14ac:dyDescent="0.3">
      <c r="B56" s="12"/>
      <c r="D56" s="34"/>
      <c r="H56" s="35"/>
      <c r="J56" s="34"/>
      <c r="P56" s="88"/>
      <c r="R56" s="13"/>
    </row>
    <row r="57" spans="2:18" x14ac:dyDescent="0.3">
      <c r="B57" s="12"/>
      <c r="D57" s="34"/>
      <c r="H57" s="35"/>
      <c r="J57" s="34"/>
      <c r="P57" s="88"/>
      <c r="R57" s="13"/>
    </row>
    <row r="58" spans="2:18" x14ac:dyDescent="0.3">
      <c r="B58" s="12"/>
      <c r="D58" s="34"/>
      <c r="H58" s="35"/>
      <c r="J58" s="34"/>
      <c r="P58" s="88"/>
      <c r="R58" s="13"/>
    </row>
    <row r="59" spans="2:18" s="1" customFormat="1" ht="15" x14ac:dyDescent="0.25">
      <c r="B59" s="20"/>
      <c r="D59" s="36" t="s">
        <v>40</v>
      </c>
      <c r="E59" s="37"/>
      <c r="F59" s="37"/>
      <c r="G59" s="38" t="s">
        <v>41</v>
      </c>
      <c r="H59" s="39"/>
      <c r="J59" s="36" t="s">
        <v>40</v>
      </c>
      <c r="K59" s="37"/>
      <c r="L59" s="37"/>
      <c r="M59" s="37"/>
      <c r="N59" s="93" t="s">
        <v>41</v>
      </c>
      <c r="O59" s="94"/>
      <c r="P59" s="89"/>
      <c r="Q59" s="85"/>
      <c r="R59" s="21"/>
    </row>
    <row r="60" spans="2:18" x14ac:dyDescent="0.3">
      <c r="B60" s="12"/>
      <c r="R60" s="13"/>
    </row>
    <row r="61" spans="2:18" s="1" customFormat="1" ht="15" x14ac:dyDescent="0.25">
      <c r="B61" s="20"/>
      <c r="D61" s="31" t="s">
        <v>42</v>
      </c>
      <c r="E61" s="32"/>
      <c r="F61" s="32"/>
      <c r="G61" s="32"/>
      <c r="H61" s="33"/>
      <c r="J61" s="31" t="s">
        <v>43</v>
      </c>
      <c r="K61" s="32"/>
      <c r="L61" s="32"/>
      <c r="M61" s="32"/>
      <c r="N61" s="86"/>
      <c r="O61" s="86"/>
      <c r="P61" s="87"/>
      <c r="Q61" s="85"/>
      <c r="R61" s="21"/>
    </row>
    <row r="62" spans="2:18" x14ac:dyDescent="0.3">
      <c r="B62" s="12"/>
      <c r="D62" s="34"/>
      <c r="H62" s="35"/>
      <c r="J62" s="34"/>
      <c r="P62" s="88"/>
      <c r="R62" s="13"/>
    </row>
    <row r="63" spans="2:18" x14ac:dyDescent="0.3">
      <c r="B63" s="12"/>
      <c r="D63" s="34"/>
      <c r="H63" s="35"/>
      <c r="J63" s="34"/>
      <c r="P63" s="88"/>
      <c r="R63" s="13"/>
    </row>
    <row r="64" spans="2:18" x14ac:dyDescent="0.3">
      <c r="B64" s="12"/>
      <c r="D64" s="34"/>
      <c r="H64" s="35"/>
      <c r="J64" s="34"/>
      <c r="P64" s="88"/>
      <c r="R64" s="13"/>
    </row>
    <row r="65" spans="2:18" x14ac:dyDescent="0.3">
      <c r="B65" s="12"/>
      <c r="D65" s="34"/>
      <c r="H65" s="35"/>
      <c r="J65" s="34"/>
      <c r="P65" s="88"/>
      <c r="R65" s="13"/>
    </row>
    <row r="66" spans="2:18" x14ac:dyDescent="0.3">
      <c r="B66" s="12"/>
      <c r="D66" s="34"/>
      <c r="H66" s="35"/>
      <c r="J66" s="34"/>
      <c r="P66" s="88"/>
      <c r="R66" s="13"/>
    </row>
    <row r="67" spans="2:18" x14ac:dyDescent="0.3">
      <c r="B67" s="12"/>
      <c r="D67" s="34"/>
      <c r="H67" s="35"/>
      <c r="J67" s="34"/>
      <c r="P67" s="88"/>
      <c r="R67" s="13"/>
    </row>
    <row r="68" spans="2:18" x14ac:dyDescent="0.3">
      <c r="B68" s="12"/>
      <c r="D68" s="34"/>
      <c r="H68" s="35"/>
      <c r="J68" s="34"/>
      <c r="P68" s="88"/>
      <c r="R68" s="13"/>
    </row>
    <row r="69" spans="2:18" x14ac:dyDescent="0.3">
      <c r="B69" s="12"/>
      <c r="D69" s="34"/>
      <c r="H69" s="35"/>
      <c r="J69" s="34"/>
      <c r="P69" s="88"/>
      <c r="R69" s="13"/>
    </row>
    <row r="70" spans="2:18" s="1" customFormat="1" ht="15" x14ac:dyDescent="0.25">
      <c r="B70" s="20"/>
      <c r="D70" s="36" t="s">
        <v>40</v>
      </c>
      <c r="E70" s="37"/>
      <c r="F70" s="37"/>
      <c r="G70" s="38" t="s">
        <v>41</v>
      </c>
      <c r="H70" s="39"/>
      <c r="J70" s="36" t="s">
        <v>40</v>
      </c>
      <c r="K70" s="37"/>
      <c r="L70" s="37"/>
      <c r="M70" s="37"/>
      <c r="N70" s="93" t="s">
        <v>41</v>
      </c>
      <c r="O70" s="94"/>
      <c r="P70" s="89"/>
      <c r="Q70" s="85"/>
      <c r="R70" s="21"/>
    </row>
    <row r="71" spans="2:18" s="1" customFormat="1" ht="14.45" customHeight="1" x14ac:dyDescent="0.25">
      <c r="B71" s="40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90"/>
      <c r="O71" s="90"/>
      <c r="P71" s="90"/>
      <c r="Q71" s="90"/>
      <c r="R71" s="42"/>
    </row>
    <row r="75" spans="2:18" s="1" customFormat="1" ht="6.95" customHeight="1" x14ac:dyDescent="0.25">
      <c r="B75" s="4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91"/>
      <c r="O75" s="91"/>
      <c r="P75" s="91"/>
      <c r="Q75" s="91"/>
      <c r="R75" s="45"/>
    </row>
    <row r="76" spans="2:18" s="1" customFormat="1" ht="36.950000000000003" customHeight="1" x14ac:dyDescent="0.25">
      <c r="B76" s="20"/>
      <c r="C76" s="324" t="s">
        <v>60</v>
      </c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  <c r="P76" s="329"/>
      <c r="Q76" s="329"/>
      <c r="R76" s="21"/>
    </row>
    <row r="77" spans="2:18" s="1" customFormat="1" ht="6.95" customHeight="1" x14ac:dyDescent="0.25">
      <c r="B77" s="20"/>
      <c r="N77" s="85"/>
      <c r="O77" s="85"/>
      <c r="P77" s="85"/>
      <c r="Q77" s="85"/>
      <c r="R77" s="21"/>
    </row>
    <row r="78" spans="2:18" s="1" customFormat="1" ht="18" x14ac:dyDescent="0.25">
      <c r="B78" s="20"/>
      <c r="C78" s="49" t="s">
        <v>6</v>
      </c>
      <c r="F78" s="338" t="str">
        <f>F5</f>
        <v>VÝSTAVBA CHODNÍKU TOPOL PODÉL SILNICE III/34034</v>
      </c>
      <c r="G78" s="329"/>
      <c r="H78" s="329"/>
      <c r="I78" s="329"/>
      <c r="J78" s="329"/>
      <c r="K78" s="329"/>
      <c r="L78" s="329"/>
      <c r="M78" s="329"/>
      <c r="N78" s="329"/>
      <c r="O78" s="329"/>
      <c r="P78" s="329"/>
      <c r="Q78" s="85"/>
      <c r="R78" s="21"/>
    </row>
    <row r="79" spans="2:18" s="1" customFormat="1" ht="18" x14ac:dyDescent="0.25">
      <c r="B79" s="20"/>
      <c r="C79" s="16" t="s">
        <v>119</v>
      </c>
      <c r="F79" s="338" t="str">
        <f>F6</f>
        <v>IO.101 - CHODNÍK</v>
      </c>
      <c r="G79" s="329"/>
      <c r="H79" s="329"/>
      <c r="I79" s="329"/>
      <c r="J79" s="329"/>
      <c r="K79" s="329"/>
      <c r="L79" s="329"/>
      <c r="M79" s="329"/>
      <c r="N79" s="329"/>
      <c r="O79" s="329"/>
      <c r="P79" s="329"/>
      <c r="Q79" s="85"/>
      <c r="R79" s="21"/>
    </row>
    <row r="80" spans="2:18" s="1" customFormat="1" ht="6.95" customHeight="1" x14ac:dyDescent="0.25">
      <c r="B80" s="20"/>
      <c r="N80" s="85"/>
      <c r="O80" s="85"/>
      <c r="P80" s="85"/>
      <c r="Q80" s="85"/>
      <c r="R80" s="21"/>
    </row>
    <row r="81" spans="2:22" s="1" customFormat="1" ht="18" customHeight="1" x14ac:dyDescent="0.25">
      <c r="B81" s="20"/>
      <c r="C81" s="17" t="s">
        <v>12</v>
      </c>
      <c r="F81" s="15" t="str">
        <f>F8</f>
        <v>p.č. 2/3, 2/8, 772, 444, 448, 406/3 a st.15 v k.ú. Topol</v>
      </c>
      <c r="K81" s="17" t="s">
        <v>13</v>
      </c>
      <c r="M81" s="337">
        <f>IF(O8="","",O8)</f>
        <v>46013</v>
      </c>
      <c r="N81" s="337"/>
      <c r="Q81" s="85"/>
      <c r="R81" s="21"/>
    </row>
    <row r="82" spans="2:22" s="1" customFormat="1" ht="6.95" customHeight="1" x14ac:dyDescent="0.25">
      <c r="B82" s="20"/>
      <c r="N82" s="85"/>
      <c r="O82" s="85"/>
      <c r="P82" s="85"/>
      <c r="Q82" s="85"/>
      <c r="R82" s="21"/>
    </row>
    <row r="83" spans="2:22" s="1" customFormat="1" ht="15" x14ac:dyDescent="0.25">
      <c r="B83" s="20"/>
      <c r="C83" s="17" t="s">
        <v>16</v>
      </c>
      <c r="F83" s="15" t="str">
        <f>F10</f>
        <v>Město Chrudim, Resselovo náměstí 77, 537 16 Chrudim</v>
      </c>
      <c r="K83" s="17" t="s">
        <v>21</v>
      </c>
      <c r="M83" s="325"/>
      <c r="N83" s="329"/>
      <c r="O83" s="329"/>
      <c r="P83" s="329"/>
      <c r="Q83" s="329"/>
      <c r="R83" s="21"/>
    </row>
    <row r="84" spans="2:22" s="1" customFormat="1" ht="14.45" customHeight="1" x14ac:dyDescent="0.25">
      <c r="B84" s="20"/>
      <c r="C84" s="17" t="s">
        <v>20</v>
      </c>
      <c r="F84" s="15" t="str">
        <f>IF(E14="","",E14)</f>
        <v xml:space="preserve"> </v>
      </c>
      <c r="K84" s="17" t="s">
        <v>23</v>
      </c>
      <c r="M84" s="325" t="str">
        <f>E20</f>
        <v xml:space="preserve"> </v>
      </c>
      <c r="N84" s="329"/>
      <c r="O84" s="329"/>
      <c r="P84" s="329"/>
      <c r="Q84" s="329"/>
      <c r="R84" s="21"/>
    </row>
    <row r="85" spans="2:22" s="1" customFormat="1" ht="10.35" customHeight="1" x14ac:dyDescent="0.25">
      <c r="B85" s="20"/>
      <c r="N85" s="85"/>
      <c r="O85" s="85"/>
      <c r="P85" s="85"/>
      <c r="Q85" s="85"/>
      <c r="R85" s="21"/>
    </row>
    <row r="86" spans="2:22" s="1" customFormat="1" ht="29.25" customHeight="1" x14ac:dyDescent="0.25">
      <c r="B86" s="20"/>
      <c r="C86" s="351" t="s">
        <v>61</v>
      </c>
      <c r="D86" s="352"/>
      <c r="E86" s="352"/>
      <c r="F86" s="352"/>
      <c r="G86" s="352"/>
      <c r="H86" s="60"/>
      <c r="I86" s="60"/>
      <c r="J86" s="60"/>
      <c r="K86" s="60"/>
      <c r="L86" s="60"/>
      <c r="M86" s="60"/>
      <c r="N86" s="60"/>
      <c r="O86" s="353" t="s">
        <v>62</v>
      </c>
      <c r="P86" s="353"/>
      <c r="Q86" s="353"/>
      <c r="R86" s="21"/>
    </row>
    <row r="87" spans="2:22" s="1" customFormat="1" ht="10.35" customHeight="1" x14ac:dyDescent="0.25">
      <c r="B87" s="20"/>
      <c r="O87" s="113"/>
      <c r="Q87" s="85"/>
      <c r="R87" s="21"/>
    </row>
    <row r="88" spans="2:22" s="1" customFormat="1" ht="29.25" customHeight="1" x14ac:dyDescent="0.25">
      <c r="B88" s="20"/>
      <c r="C88" s="114" t="s">
        <v>63</v>
      </c>
      <c r="O88" s="311">
        <f>SUM(O89:Q94)</f>
        <v>0</v>
      </c>
      <c r="P88" s="311"/>
      <c r="Q88" s="311"/>
      <c r="R88" s="21"/>
      <c r="T88" s="256">
        <f>O88-M117</f>
        <v>0</v>
      </c>
      <c r="U88" s="256"/>
      <c r="V88" s="256"/>
    </row>
    <row r="89" spans="2:22" s="6" customFormat="1" ht="19.899999999999999" customHeight="1" x14ac:dyDescent="0.25">
      <c r="B89" s="63"/>
      <c r="D89" s="115" t="s">
        <v>64</v>
      </c>
      <c r="O89" s="342">
        <f>M118</f>
        <v>0</v>
      </c>
      <c r="P89" s="342"/>
      <c r="Q89" s="342"/>
      <c r="R89" s="116"/>
    </row>
    <row r="90" spans="2:22" s="6" customFormat="1" ht="19.899999999999999" customHeight="1" x14ac:dyDescent="0.25">
      <c r="B90" s="63"/>
      <c r="D90" s="115" t="s">
        <v>212</v>
      </c>
      <c r="O90" s="342">
        <f>M173</f>
        <v>0</v>
      </c>
      <c r="P90" s="342"/>
      <c r="Q90" s="342"/>
      <c r="R90" s="116"/>
    </row>
    <row r="91" spans="2:22" s="6" customFormat="1" ht="19.899999999999999" customHeight="1" x14ac:dyDescent="0.25">
      <c r="B91" s="63"/>
      <c r="D91" s="115" t="s">
        <v>65</v>
      </c>
      <c r="O91" s="342">
        <f>M185</f>
        <v>0</v>
      </c>
      <c r="P91" s="342"/>
      <c r="Q91" s="342"/>
      <c r="R91" s="116"/>
    </row>
    <row r="92" spans="2:22" s="6" customFormat="1" ht="19.899999999999999" customHeight="1" x14ac:dyDescent="0.25">
      <c r="B92" s="63"/>
      <c r="D92" s="115" t="s">
        <v>66</v>
      </c>
      <c r="O92" s="342">
        <f>M232</f>
        <v>0</v>
      </c>
      <c r="P92" s="342"/>
      <c r="Q92" s="342"/>
      <c r="R92" s="116"/>
    </row>
    <row r="93" spans="2:22" s="6" customFormat="1" ht="19.899999999999999" customHeight="1" x14ac:dyDescent="0.25">
      <c r="B93" s="63"/>
      <c r="D93" s="115" t="s">
        <v>67</v>
      </c>
      <c r="O93" s="342">
        <f>M263</f>
        <v>0</v>
      </c>
      <c r="P93" s="342"/>
      <c r="Q93" s="342"/>
      <c r="R93" s="116"/>
    </row>
    <row r="94" spans="2:22" s="6" customFormat="1" ht="19.899999999999999" customHeight="1" x14ac:dyDescent="0.25">
      <c r="B94" s="63"/>
      <c r="D94" s="115" t="s">
        <v>87</v>
      </c>
      <c r="O94" s="342">
        <f>M269</f>
        <v>0</v>
      </c>
      <c r="P94" s="342"/>
      <c r="Q94" s="342"/>
      <c r="R94" s="116"/>
    </row>
    <row r="95" spans="2:22" s="75" customFormat="1" ht="7.5" x14ac:dyDescent="0.25">
      <c r="B95" s="76"/>
      <c r="O95" s="130"/>
      <c r="Q95" s="92"/>
      <c r="R95" s="102"/>
    </row>
    <row r="96" spans="2:22" s="1" customFormat="1" ht="29.25" customHeight="1" x14ac:dyDescent="0.25">
      <c r="B96" s="20"/>
      <c r="C96" s="114" t="s">
        <v>68</v>
      </c>
      <c r="O96" s="357">
        <v>0</v>
      </c>
      <c r="P96" s="357"/>
      <c r="Q96" s="357"/>
      <c r="R96" s="21"/>
    </row>
    <row r="97" spans="2:18" s="75" customFormat="1" ht="7.5" x14ac:dyDescent="0.25">
      <c r="B97" s="76"/>
      <c r="O97" s="130"/>
      <c r="Q97" s="92"/>
      <c r="R97" s="102"/>
    </row>
    <row r="98" spans="2:18" s="1" customFormat="1" ht="29.25" customHeight="1" x14ac:dyDescent="0.25">
      <c r="B98" s="20"/>
      <c r="C98" s="59" t="s">
        <v>56</v>
      </c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343">
        <f>ROUND(SUM(O88+O96),2)</f>
        <v>0</v>
      </c>
      <c r="P98" s="343"/>
      <c r="Q98" s="343"/>
      <c r="R98" s="21"/>
    </row>
    <row r="99" spans="2:18" s="1" customFormat="1" ht="6.95" customHeight="1" x14ac:dyDescent="0.25"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90"/>
      <c r="O99" s="90"/>
      <c r="P99" s="90"/>
      <c r="Q99" s="90"/>
      <c r="R99" s="42"/>
    </row>
    <row r="103" spans="2:18" s="1" customFormat="1" x14ac:dyDescent="0.25">
      <c r="B103" s="43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91"/>
      <c r="O103" s="91"/>
      <c r="P103" s="91"/>
      <c r="Q103" s="91"/>
      <c r="R103" s="45"/>
    </row>
    <row r="104" spans="2:18" s="1" customFormat="1" ht="21" x14ac:dyDescent="0.25">
      <c r="B104" s="20"/>
      <c r="C104" s="324" t="s">
        <v>69</v>
      </c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  <c r="P104" s="329"/>
      <c r="Q104" s="329"/>
      <c r="R104" s="21"/>
    </row>
    <row r="105" spans="2:18" s="75" customFormat="1" ht="7.5" x14ac:dyDescent="0.25">
      <c r="B105" s="76"/>
      <c r="N105" s="92"/>
      <c r="O105" s="92"/>
      <c r="P105" s="92"/>
      <c r="Q105" s="92"/>
      <c r="R105" s="102"/>
    </row>
    <row r="106" spans="2:18" s="1" customFormat="1" ht="18" x14ac:dyDescent="0.25">
      <c r="B106" s="20"/>
      <c r="C106" s="49" t="s">
        <v>6</v>
      </c>
      <c r="F106" s="338" t="str">
        <f>F5</f>
        <v>VÝSTAVBA CHODNÍKU TOPOL PODÉL SILNICE III/34034</v>
      </c>
      <c r="G106" s="329"/>
      <c r="H106" s="329"/>
      <c r="I106" s="329"/>
      <c r="J106" s="329"/>
      <c r="K106" s="329"/>
      <c r="L106" s="329"/>
      <c r="M106" s="329"/>
      <c r="N106" s="329"/>
      <c r="O106" s="329"/>
      <c r="P106" s="329"/>
      <c r="Q106" s="85"/>
      <c r="R106" s="21"/>
    </row>
    <row r="107" spans="2:18" s="1" customFormat="1" ht="18" x14ac:dyDescent="0.25">
      <c r="B107" s="20"/>
      <c r="C107" s="49" t="str">
        <f>D6</f>
        <v>Objekt:</v>
      </c>
      <c r="F107" s="338" t="str">
        <f>F6</f>
        <v>IO.101 - CHODNÍK</v>
      </c>
      <c r="G107" s="329"/>
      <c r="H107" s="329"/>
      <c r="I107" s="329"/>
      <c r="J107" s="329"/>
      <c r="K107" s="329"/>
      <c r="L107" s="329"/>
      <c r="M107" s="329"/>
      <c r="N107" s="329"/>
      <c r="O107" s="329"/>
      <c r="P107" s="329"/>
      <c r="Q107" s="85"/>
      <c r="R107" s="21"/>
    </row>
    <row r="108" spans="2:18" s="75" customFormat="1" ht="7.5" x14ac:dyDescent="0.25">
      <c r="B108" s="76"/>
      <c r="N108" s="92"/>
      <c r="O108" s="92"/>
      <c r="P108" s="92"/>
      <c r="Q108" s="92"/>
      <c r="R108" s="102"/>
    </row>
    <row r="109" spans="2:18" s="1" customFormat="1" ht="15" x14ac:dyDescent="0.25">
      <c r="B109" s="20"/>
      <c r="C109" s="17" t="s">
        <v>12</v>
      </c>
      <c r="F109" s="15" t="str">
        <f>F8</f>
        <v>p.č. 2/3, 2/8, 772, 444, 448, 406/3 a st.15 v k.ú. Topol</v>
      </c>
      <c r="K109" s="17" t="s">
        <v>13</v>
      </c>
      <c r="M109" s="344">
        <f>IF(O8="","",O8)</f>
        <v>46013</v>
      </c>
      <c r="N109" s="329"/>
      <c r="O109" s="329"/>
      <c r="P109" s="329"/>
      <c r="Q109" s="85"/>
      <c r="R109" s="21"/>
    </row>
    <row r="110" spans="2:18" s="75" customFormat="1" ht="7.5" x14ac:dyDescent="0.25">
      <c r="B110" s="76"/>
      <c r="N110" s="92"/>
      <c r="O110" s="92"/>
      <c r="P110" s="92"/>
      <c r="Q110" s="92"/>
      <c r="R110" s="102"/>
    </row>
    <row r="111" spans="2:18" s="1" customFormat="1" ht="15" x14ac:dyDescent="0.25">
      <c r="B111" s="20"/>
      <c r="C111" s="17" t="s">
        <v>16</v>
      </c>
      <c r="F111" s="15" t="str">
        <f>E11</f>
        <v xml:space="preserve"> </v>
      </c>
      <c r="K111" s="17" t="s">
        <v>21</v>
      </c>
      <c r="M111" s="325" t="str">
        <f>E17</f>
        <v xml:space="preserve"> </v>
      </c>
      <c r="N111" s="329"/>
      <c r="O111" s="329"/>
      <c r="P111" s="329"/>
      <c r="Q111" s="329"/>
      <c r="R111" s="21"/>
    </row>
    <row r="112" spans="2:18" s="1" customFormat="1" ht="15" x14ac:dyDescent="0.25">
      <c r="B112" s="20"/>
      <c r="C112" s="17" t="s">
        <v>20</v>
      </c>
      <c r="F112" s="15" t="str">
        <f>IF(E14="","",E14)</f>
        <v xml:space="preserve"> </v>
      </c>
      <c r="K112" s="17" t="s">
        <v>23</v>
      </c>
      <c r="M112" s="325" t="str">
        <f>E20</f>
        <v xml:space="preserve"> </v>
      </c>
      <c r="N112" s="329"/>
      <c r="O112" s="329"/>
      <c r="P112" s="329"/>
      <c r="Q112" s="329"/>
      <c r="R112" s="21"/>
    </row>
    <row r="113" spans="2:18" s="75" customFormat="1" ht="7.5" x14ac:dyDescent="0.25">
      <c r="B113" s="76"/>
      <c r="N113" s="92"/>
      <c r="O113" s="92"/>
      <c r="P113" s="92"/>
      <c r="Q113" s="92"/>
      <c r="R113" s="102"/>
    </row>
    <row r="114" spans="2:18" s="7" customFormat="1" ht="15" x14ac:dyDescent="0.25">
      <c r="B114" s="64"/>
      <c r="C114" s="358" t="s">
        <v>70</v>
      </c>
      <c r="D114" s="358" t="s">
        <v>71</v>
      </c>
      <c r="E114" s="358" t="s">
        <v>45</v>
      </c>
      <c r="F114" s="358" t="s">
        <v>72</v>
      </c>
      <c r="G114" s="358"/>
      <c r="H114" s="358"/>
      <c r="I114" s="358"/>
      <c r="J114" s="358" t="s">
        <v>73</v>
      </c>
      <c r="K114" s="358" t="s">
        <v>74</v>
      </c>
      <c r="L114" s="359" t="s">
        <v>82</v>
      </c>
      <c r="M114" s="360"/>
      <c r="N114" s="358" t="s">
        <v>83</v>
      </c>
      <c r="O114" s="358"/>
      <c r="P114" s="358" t="s">
        <v>84</v>
      </c>
      <c r="Q114" s="358"/>
      <c r="R114" s="65"/>
    </row>
    <row r="115" spans="2:18" s="7" customFormat="1" ht="15" x14ac:dyDescent="0.25">
      <c r="B115" s="64"/>
      <c r="C115" s="358"/>
      <c r="D115" s="358"/>
      <c r="E115" s="358"/>
      <c r="F115" s="358"/>
      <c r="G115" s="358"/>
      <c r="H115" s="358"/>
      <c r="I115" s="358"/>
      <c r="J115" s="358"/>
      <c r="K115" s="358"/>
      <c r="L115" s="74" t="s">
        <v>80</v>
      </c>
      <c r="M115" s="106" t="s">
        <v>81</v>
      </c>
      <c r="N115" s="74" t="s">
        <v>80</v>
      </c>
      <c r="O115" s="95" t="s">
        <v>81</v>
      </c>
      <c r="P115" s="74" t="s">
        <v>80</v>
      </c>
      <c r="Q115" s="95" t="s">
        <v>81</v>
      </c>
      <c r="R115" s="65"/>
    </row>
    <row r="116" spans="2:18" s="165" customFormat="1" ht="7.5" x14ac:dyDescent="0.25">
      <c r="B116" s="166"/>
      <c r="M116" s="167"/>
      <c r="O116" s="168"/>
      <c r="Q116" s="168"/>
      <c r="R116" s="169"/>
    </row>
    <row r="117" spans="2:18" s="99" customFormat="1" ht="18" x14ac:dyDescent="0.35">
      <c r="B117" s="272"/>
      <c r="C117" s="53" t="s">
        <v>58</v>
      </c>
      <c r="M117" s="107">
        <f>SUM(M119:M168,M174:M182,M186:M229,M233:M259,M264:M268,M270)</f>
        <v>0</v>
      </c>
      <c r="O117" s="273">
        <f>SUM(O119:O168,O174:O182,O186:O229,O233:O259,O264:O268,O270)</f>
        <v>464.81662200000005</v>
      </c>
      <c r="P117" s="274"/>
      <c r="Q117" s="273">
        <f>SUM(Q119:Q168,Q174:Q182,Q186:Q229,Q233:Q259,Q264:Q268,Q270)</f>
        <v>200.14749999999998</v>
      </c>
      <c r="R117" s="275"/>
    </row>
    <row r="118" spans="2:18" s="97" customFormat="1" ht="15" x14ac:dyDescent="0.3">
      <c r="B118" s="96"/>
      <c r="D118" s="82" t="s">
        <v>64</v>
      </c>
      <c r="E118" s="82"/>
      <c r="F118" s="82"/>
      <c r="G118" s="82"/>
      <c r="H118" s="82"/>
      <c r="I118" s="82"/>
      <c r="J118" s="82"/>
      <c r="K118" s="82"/>
      <c r="L118" s="82"/>
      <c r="M118" s="108">
        <f>SUM(M119:M172)</f>
        <v>0</v>
      </c>
      <c r="O118" s="98">
        <f>SUM(O119:O172)</f>
        <v>2.5820400000000001</v>
      </c>
      <c r="P118" s="98"/>
      <c r="Q118" s="98">
        <f>SUM(Q119:Q172)</f>
        <v>200.14749999999998</v>
      </c>
      <c r="R118" s="103"/>
    </row>
    <row r="119" spans="2:18" s="1" customFormat="1" x14ac:dyDescent="0.25">
      <c r="B119" s="67"/>
      <c r="C119" s="276">
        <v>1</v>
      </c>
      <c r="D119" s="276"/>
      <c r="E119" s="277" t="s">
        <v>194</v>
      </c>
      <c r="F119" s="364" t="s">
        <v>195</v>
      </c>
      <c r="G119" s="365"/>
      <c r="H119" s="365"/>
      <c r="I119" s="365"/>
      <c r="J119" s="250" t="s">
        <v>76</v>
      </c>
      <c r="K119" s="251">
        <f>K121</f>
        <v>21.1</v>
      </c>
      <c r="L119" s="252"/>
      <c r="M119" s="253">
        <f t="shared" ref="M119:M128" si="0">ROUND(L119*K119,2)</f>
        <v>0</v>
      </c>
      <c r="N119" s="254"/>
      <c r="O119" s="255">
        <f t="shared" ref="O119:O128" si="1">N119*K119</f>
        <v>0</v>
      </c>
      <c r="P119" s="254">
        <v>0.22500000000000001</v>
      </c>
      <c r="Q119" s="264">
        <f t="shared" ref="Q119:Q128" si="2">P119*K119</f>
        <v>4.7475000000000005</v>
      </c>
      <c r="R119" s="21"/>
    </row>
    <row r="120" spans="2:18" s="1" customFormat="1" x14ac:dyDescent="0.25">
      <c r="B120" s="67"/>
      <c r="C120" s="278"/>
      <c r="D120" s="278"/>
      <c r="E120" s="279" t="s">
        <v>196</v>
      </c>
      <c r="F120" s="280" t="s">
        <v>250</v>
      </c>
      <c r="G120" s="164"/>
      <c r="H120" s="164"/>
      <c r="I120" s="164"/>
      <c r="J120" s="164"/>
      <c r="K120" s="241">
        <f>4.5+3+3.6+2.5+7.5</f>
        <v>21.1</v>
      </c>
      <c r="L120" s="265"/>
      <c r="M120" s="266"/>
      <c r="N120" s="267"/>
      <c r="O120" s="268"/>
      <c r="P120" s="267"/>
      <c r="Q120" s="268"/>
      <c r="R120" s="21"/>
    </row>
    <row r="121" spans="2:18" s="1" customFormat="1" x14ac:dyDescent="0.25">
      <c r="B121" s="67"/>
      <c r="C121" s="183"/>
      <c r="D121" s="183"/>
      <c r="E121" s="155"/>
      <c r="F121" s="123"/>
      <c r="G121" s="124"/>
      <c r="H121" s="124"/>
      <c r="I121" s="124"/>
      <c r="J121" s="125"/>
      <c r="K121" s="207">
        <f>SUM(K120:K120)</f>
        <v>21.1</v>
      </c>
      <c r="L121" s="174"/>
      <c r="M121" s="85"/>
      <c r="N121" s="173"/>
      <c r="O121" s="113"/>
      <c r="P121" s="173"/>
      <c r="Q121" s="113"/>
      <c r="R121" s="21"/>
    </row>
    <row r="122" spans="2:18" s="1" customFormat="1" x14ac:dyDescent="0.25">
      <c r="B122" s="67"/>
      <c r="C122" s="238">
        <v>2</v>
      </c>
      <c r="D122" s="238"/>
      <c r="E122" s="281" t="s">
        <v>207</v>
      </c>
      <c r="F122" s="366" t="s">
        <v>208</v>
      </c>
      <c r="G122" s="367"/>
      <c r="H122" s="367"/>
      <c r="I122" s="367"/>
      <c r="J122" s="122" t="s">
        <v>76</v>
      </c>
      <c r="K122" s="243">
        <f>K124</f>
        <v>29.5</v>
      </c>
      <c r="L122" s="147"/>
      <c r="M122" s="109">
        <f t="shared" ref="M122" si="3">ROUND(L122*K122,2)</f>
        <v>0</v>
      </c>
      <c r="N122" s="77"/>
      <c r="O122" s="156">
        <f t="shared" ref="O122" si="4">N122*K122</f>
        <v>0</v>
      </c>
      <c r="P122" s="77">
        <v>0.66</v>
      </c>
      <c r="Q122" s="217">
        <f t="shared" ref="Q122" si="5">P122*K122</f>
        <v>19.470000000000002</v>
      </c>
      <c r="R122" s="21"/>
    </row>
    <row r="123" spans="2:18" s="1" customFormat="1" x14ac:dyDescent="0.25">
      <c r="B123" s="20"/>
      <c r="C123" s="128"/>
      <c r="D123" s="128"/>
      <c r="E123" s="279" t="s">
        <v>210</v>
      </c>
      <c r="F123" s="280" t="s">
        <v>211</v>
      </c>
      <c r="G123" s="164"/>
      <c r="H123" s="164"/>
      <c r="I123" s="164"/>
      <c r="J123" s="164"/>
      <c r="K123" s="241">
        <f>11+2+2+2.5+4.5+7.5</f>
        <v>29.5</v>
      </c>
      <c r="L123" s="175"/>
      <c r="M123" s="69"/>
      <c r="N123" s="66"/>
      <c r="O123" s="70"/>
      <c r="P123" s="66"/>
      <c r="Q123" s="70"/>
      <c r="R123" s="21"/>
    </row>
    <row r="124" spans="2:18" s="1" customFormat="1" x14ac:dyDescent="0.25">
      <c r="B124" s="67"/>
      <c r="C124" s="128"/>
      <c r="D124" s="128"/>
      <c r="E124" s="155"/>
      <c r="F124" s="123"/>
      <c r="G124" s="124"/>
      <c r="H124" s="124"/>
      <c r="I124" s="124"/>
      <c r="J124" s="125"/>
      <c r="K124" s="207">
        <f>SUM(K123:K123)</f>
        <v>29.5</v>
      </c>
      <c r="L124" s="68"/>
      <c r="M124" s="69"/>
      <c r="N124" s="66"/>
      <c r="O124" s="70"/>
      <c r="P124" s="66"/>
      <c r="Q124" s="70"/>
      <c r="R124" s="21"/>
    </row>
    <row r="125" spans="2:18" s="1" customFormat="1" x14ac:dyDescent="0.25">
      <c r="B125" s="67"/>
      <c r="C125" s="238">
        <v>3</v>
      </c>
      <c r="D125" s="238"/>
      <c r="E125" s="281" t="s">
        <v>199</v>
      </c>
      <c r="F125" s="366" t="s">
        <v>200</v>
      </c>
      <c r="G125" s="367"/>
      <c r="H125" s="367"/>
      <c r="I125" s="367"/>
      <c r="J125" s="122" t="s">
        <v>76</v>
      </c>
      <c r="K125" s="243">
        <f>K127</f>
        <v>66.5</v>
      </c>
      <c r="L125" s="147"/>
      <c r="M125" s="109">
        <f t="shared" ref="M125" si="6">ROUND(L125*K125,2)</f>
        <v>0</v>
      </c>
      <c r="N125" s="77"/>
      <c r="O125" s="156">
        <f t="shared" ref="O125" si="7">N125*K125</f>
        <v>0</v>
      </c>
      <c r="P125" s="77">
        <v>0.66</v>
      </c>
      <c r="Q125" s="217">
        <f t="shared" ref="Q125" si="8">P125*K125</f>
        <v>43.89</v>
      </c>
      <c r="R125" s="21"/>
    </row>
    <row r="126" spans="2:18" s="1" customFormat="1" x14ac:dyDescent="0.25">
      <c r="B126" s="20"/>
      <c r="C126" s="128"/>
      <c r="D126" s="128"/>
      <c r="E126" s="279" t="s">
        <v>205</v>
      </c>
      <c r="F126" s="280"/>
      <c r="G126" s="164"/>
      <c r="H126" s="164"/>
      <c r="I126" s="164"/>
      <c r="J126" s="164"/>
      <c r="K126" s="241">
        <v>66.5</v>
      </c>
      <c r="L126" s="175"/>
      <c r="M126" s="69"/>
      <c r="N126" s="66"/>
      <c r="O126" s="70"/>
      <c r="P126" s="66"/>
      <c r="Q126" s="70"/>
      <c r="R126" s="21"/>
    </row>
    <row r="127" spans="2:18" s="1" customFormat="1" x14ac:dyDescent="0.25">
      <c r="B127" s="67"/>
      <c r="C127" s="128"/>
      <c r="D127" s="128"/>
      <c r="E127" s="155"/>
      <c r="F127" s="123"/>
      <c r="G127" s="124"/>
      <c r="H127" s="124"/>
      <c r="I127" s="124"/>
      <c r="J127" s="125"/>
      <c r="K127" s="207">
        <f>SUM(K126:K126)</f>
        <v>66.5</v>
      </c>
      <c r="L127" s="68"/>
      <c r="M127" s="69"/>
      <c r="N127" s="66"/>
      <c r="O127" s="70"/>
      <c r="P127" s="66"/>
      <c r="Q127" s="70"/>
      <c r="R127" s="21"/>
    </row>
    <row r="128" spans="2:18" s="1" customFormat="1" x14ac:dyDescent="0.25">
      <c r="B128" s="67"/>
      <c r="C128" s="238">
        <v>4</v>
      </c>
      <c r="D128" s="238"/>
      <c r="E128" s="281" t="s">
        <v>201</v>
      </c>
      <c r="F128" s="366" t="s">
        <v>202</v>
      </c>
      <c r="G128" s="367"/>
      <c r="H128" s="367"/>
      <c r="I128" s="367"/>
      <c r="J128" s="122" t="s">
        <v>76</v>
      </c>
      <c r="K128" s="243">
        <f>K130</f>
        <v>62.5</v>
      </c>
      <c r="L128" s="147"/>
      <c r="M128" s="109">
        <f t="shared" si="0"/>
        <v>0</v>
      </c>
      <c r="N128" s="77"/>
      <c r="O128" s="156">
        <f t="shared" si="1"/>
        <v>0</v>
      </c>
      <c r="P128" s="77">
        <v>0.88</v>
      </c>
      <c r="Q128" s="217">
        <f t="shared" si="2"/>
        <v>55</v>
      </c>
      <c r="R128" s="21"/>
    </row>
    <row r="129" spans="2:18" s="1" customFormat="1" x14ac:dyDescent="0.25">
      <c r="B129" s="20"/>
      <c r="C129" s="128"/>
      <c r="D129" s="128"/>
      <c r="E129" s="279" t="s">
        <v>203</v>
      </c>
      <c r="F129" s="280" t="s">
        <v>204</v>
      </c>
      <c r="G129" s="164"/>
      <c r="H129" s="164"/>
      <c r="I129" s="164"/>
      <c r="J129" s="164"/>
      <c r="K129" s="241">
        <f>59+3.5</f>
        <v>62.5</v>
      </c>
      <c r="L129" s="175"/>
      <c r="M129" s="69"/>
      <c r="N129" s="66"/>
      <c r="O129" s="70"/>
      <c r="P129" s="66"/>
      <c r="Q129" s="70"/>
      <c r="R129" s="21"/>
    </row>
    <row r="130" spans="2:18" s="1" customFormat="1" x14ac:dyDescent="0.25">
      <c r="B130" s="67"/>
      <c r="C130" s="128"/>
      <c r="D130" s="128"/>
      <c r="E130" s="155"/>
      <c r="F130" s="123"/>
      <c r="G130" s="124"/>
      <c r="H130" s="124"/>
      <c r="I130" s="124"/>
      <c r="J130" s="125"/>
      <c r="K130" s="207">
        <f>SUM(K129:K129)</f>
        <v>62.5</v>
      </c>
      <c r="L130" s="68"/>
      <c r="M130" s="69"/>
      <c r="N130" s="66"/>
      <c r="O130" s="70"/>
      <c r="P130" s="66"/>
      <c r="Q130" s="70"/>
      <c r="R130" s="21"/>
    </row>
    <row r="131" spans="2:18" s="1" customFormat="1" x14ac:dyDescent="0.25">
      <c r="B131" s="67"/>
      <c r="C131" s="238">
        <v>5</v>
      </c>
      <c r="D131" s="238"/>
      <c r="E131" s="281" t="s">
        <v>197</v>
      </c>
      <c r="F131" s="368" t="s">
        <v>198</v>
      </c>
      <c r="G131" s="369"/>
      <c r="H131" s="369"/>
      <c r="I131" s="370"/>
      <c r="J131" s="122" t="s">
        <v>76</v>
      </c>
      <c r="K131" s="243">
        <f>K133</f>
        <v>36</v>
      </c>
      <c r="L131" s="147"/>
      <c r="M131" s="109">
        <f t="shared" ref="M131" si="9">ROUND(L131*K131,2)</f>
        <v>0</v>
      </c>
      <c r="N131" s="77"/>
      <c r="O131" s="156">
        <f t="shared" ref="O131" si="10">N131*K131</f>
        <v>0</v>
      </c>
      <c r="P131" s="77">
        <v>0.11</v>
      </c>
      <c r="Q131" s="257">
        <f t="shared" ref="Q131" si="11">P131*K131</f>
        <v>3.96</v>
      </c>
      <c r="R131" s="21"/>
    </row>
    <row r="132" spans="2:18" s="1" customFormat="1" x14ac:dyDescent="0.25">
      <c r="B132" s="67"/>
      <c r="C132" s="128"/>
      <c r="D132" s="128"/>
      <c r="E132" s="279" t="s">
        <v>205</v>
      </c>
      <c r="F132" s="154"/>
      <c r="G132" s="154"/>
      <c r="H132" s="154"/>
      <c r="I132" s="154"/>
      <c r="J132" s="154"/>
      <c r="K132" s="240">
        <v>36</v>
      </c>
      <c r="L132" s="68"/>
      <c r="M132" s="69"/>
      <c r="N132" s="66"/>
      <c r="O132" s="70"/>
      <c r="P132" s="66"/>
      <c r="Q132" s="70"/>
      <c r="R132" s="21"/>
    </row>
    <row r="133" spans="2:18" s="1" customFormat="1" x14ac:dyDescent="0.25">
      <c r="B133" s="67"/>
      <c r="C133" s="128"/>
      <c r="D133" s="128"/>
      <c r="E133" s="155"/>
      <c r="F133" s="123"/>
      <c r="G133" s="124"/>
      <c r="H133" s="124"/>
      <c r="I133" s="124"/>
      <c r="J133" s="125"/>
      <c r="K133" s="207">
        <f>SUM(K132)</f>
        <v>36</v>
      </c>
      <c r="L133" s="68"/>
      <c r="M133" s="69"/>
      <c r="N133" s="66"/>
      <c r="O133" s="70"/>
      <c r="P133" s="66"/>
      <c r="Q133" s="70"/>
      <c r="R133" s="21"/>
    </row>
    <row r="134" spans="2:18" s="1" customFormat="1" x14ac:dyDescent="0.25">
      <c r="B134" s="67"/>
      <c r="C134" s="238">
        <v>6</v>
      </c>
      <c r="D134" s="238"/>
      <c r="E134" s="281" t="s">
        <v>190</v>
      </c>
      <c r="F134" s="366" t="s">
        <v>191</v>
      </c>
      <c r="G134" s="367"/>
      <c r="H134" s="367"/>
      <c r="I134" s="367"/>
      <c r="J134" s="122" t="s">
        <v>76</v>
      </c>
      <c r="K134" s="243">
        <f>K136</f>
        <v>207</v>
      </c>
      <c r="L134" s="147"/>
      <c r="M134" s="109">
        <f t="shared" ref="M134" si="12">ROUND(L134*K134,2)</f>
        <v>0</v>
      </c>
      <c r="N134" s="77"/>
      <c r="O134" s="156">
        <f t="shared" ref="O134" si="13">N134*K134</f>
        <v>0</v>
      </c>
      <c r="P134" s="77">
        <v>0.22</v>
      </c>
      <c r="Q134" s="257">
        <f t="shared" ref="Q134" si="14">P134*K134</f>
        <v>45.54</v>
      </c>
      <c r="R134" s="21"/>
    </row>
    <row r="135" spans="2:18" s="1" customFormat="1" x14ac:dyDescent="0.25">
      <c r="B135" s="67"/>
      <c r="C135" s="128"/>
      <c r="D135" s="128"/>
      <c r="E135" s="282" t="s">
        <v>206</v>
      </c>
      <c r="F135" s="154"/>
      <c r="G135" s="154"/>
      <c r="H135" s="154"/>
      <c r="I135" s="154"/>
      <c r="J135" s="154"/>
      <c r="K135" s="240">
        <f>171+36</f>
        <v>207</v>
      </c>
      <c r="L135" s="68"/>
      <c r="M135" s="69"/>
      <c r="N135" s="66"/>
      <c r="O135" s="70"/>
      <c r="P135" s="66"/>
      <c r="Q135" s="70"/>
      <c r="R135" s="21"/>
    </row>
    <row r="136" spans="2:18" s="1" customFormat="1" x14ac:dyDescent="0.25">
      <c r="B136" s="67"/>
      <c r="C136" s="128"/>
      <c r="D136" s="128"/>
      <c r="E136" s="155"/>
      <c r="F136" s="123"/>
      <c r="G136" s="124"/>
      <c r="H136" s="124"/>
      <c r="I136" s="124"/>
      <c r="J136" s="125"/>
      <c r="K136" s="207">
        <f>SUM(K135)</f>
        <v>207</v>
      </c>
      <c r="L136" s="68"/>
      <c r="M136" s="69"/>
      <c r="N136" s="66"/>
      <c r="O136" s="70"/>
      <c r="P136" s="66"/>
      <c r="Q136" s="70"/>
      <c r="R136" s="21"/>
    </row>
    <row r="137" spans="2:18" s="1" customFormat="1" x14ac:dyDescent="0.25">
      <c r="B137" s="67"/>
      <c r="C137" s="238">
        <v>7</v>
      </c>
      <c r="D137" s="238"/>
      <c r="E137" s="281" t="s">
        <v>160</v>
      </c>
      <c r="F137" s="366" t="s">
        <v>161</v>
      </c>
      <c r="G137" s="367"/>
      <c r="H137" s="367"/>
      <c r="I137" s="367"/>
      <c r="J137" s="122" t="s">
        <v>77</v>
      </c>
      <c r="K137" s="243">
        <f>K139</f>
        <v>102</v>
      </c>
      <c r="L137" s="147"/>
      <c r="M137" s="109">
        <f t="shared" ref="M137" si="15">ROUND(L137*K137,2)</f>
        <v>0</v>
      </c>
      <c r="N137" s="77"/>
      <c r="O137" s="156">
        <f t="shared" ref="O137" si="16">N137*K137</f>
        <v>0</v>
      </c>
      <c r="P137" s="77">
        <v>0.27</v>
      </c>
      <c r="Q137" s="218">
        <f t="shared" ref="Q137" si="17">P137*K137</f>
        <v>27.540000000000003</v>
      </c>
      <c r="R137" s="21"/>
    </row>
    <row r="138" spans="2:18" s="1" customFormat="1" x14ac:dyDescent="0.25">
      <c r="B138" s="67"/>
      <c r="C138" s="128"/>
      <c r="D138" s="128"/>
      <c r="E138" s="282" t="s">
        <v>206</v>
      </c>
      <c r="F138" s="154"/>
      <c r="G138" s="154"/>
      <c r="H138" s="154"/>
      <c r="I138" s="154"/>
      <c r="J138" s="154"/>
      <c r="K138" s="240">
        <v>102</v>
      </c>
      <c r="L138" s="68"/>
      <c r="M138" s="69"/>
      <c r="N138" s="66"/>
      <c r="O138" s="70"/>
      <c r="P138" s="66"/>
      <c r="Q138" s="70"/>
      <c r="R138" s="21"/>
    </row>
    <row r="139" spans="2:18" s="1" customFormat="1" x14ac:dyDescent="0.25">
      <c r="B139" s="67"/>
      <c r="C139" s="128"/>
      <c r="D139" s="128"/>
      <c r="E139" s="155"/>
      <c r="F139" s="123"/>
      <c r="G139" s="124"/>
      <c r="H139" s="124"/>
      <c r="I139" s="124"/>
      <c r="J139" s="125"/>
      <c r="K139" s="207">
        <f>SUM(K138)</f>
        <v>102</v>
      </c>
      <c r="L139" s="68"/>
      <c r="M139" s="69"/>
      <c r="N139" s="66"/>
      <c r="O139" s="70"/>
      <c r="P139" s="66"/>
      <c r="Q139" s="70"/>
      <c r="R139" s="21"/>
    </row>
    <row r="140" spans="2:18" s="1" customFormat="1" x14ac:dyDescent="0.25">
      <c r="B140" s="20"/>
      <c r="C140" s="238">
        <v>8</v>
      </c>
      <c r="D140" s="238"/>
      <c r="E140" s="281" t="s">
        <v>101</v>
      </c>
      <c r="F140" s="366" t="s">
        <v>102</v>
      </c>
      <c r="G140" s="367"/>
      <c r="H140" s="367"/>
      <c r="I140" s="367"/>
      <c r="J140" s="122" t="s">
        <v>103</v>
      </c>
      <c r="K140" s="243">
        <f>K142</f>
        <v>13.600000000000001</v>
      </c>
      <c r="L140" s="147"/>
      <c r="M140" s="109">
        <f t="shared" ref="M140:M168" si="18">ROUND(L140*K140,2)</f>
        <v>0</v>
      </c>
      <c r="N140" s="77"/>
      <c r="O140" s="156">
        <f t="shared" ref="O140:O168" si="19">N140*K140</f>
        <v>0</v>
      </c>
      <c r="P140" s="77"/>
      <c r="Q140" s="156">
        <f t="shared" ref="Q140:Q168" si="20">P140*K140</f>
        <v>0</v>
      </c>
      <c r="R140" s="21"/>
    </row>
    <row r="141" spans="2:18" s="1" customFormat="1" x14ac:dyDescent="0.25">
      <c r="B141" s="67"/>
      <c r="C141" s="128"/>
      <c r="D141" s="128"/>
      <c r="E141" s="279" t="s">
        <v>108</v>
      </c>
      <c r="F141" s="283" t="s">
        <v>252</v>
      </c>
      <c r="G141" s="176"/>
      <c r="H141" s="176"/>
      <c r="I141" s="176"/>
      <c r="J141" s="176"/>
      <c r="K141" s="242">
        <f>(39+14.5+50+28+4.5)*0.1</f>
        <v>13.600000000000001</v>
      </c>
      <c r="L141" s="68"/>
      <c r="M141" s="69"/>
      <c r="N141" s="66"/>
      <c r="O141" s="70"/>
      <c r="P141" s="66"/>
      <c r="Q141" s="70"/>
      <c r="R141" s="21"/>
    </row>
    <row r="142" spans="2:18" s="1" customFormat="1" x14ac:dyDescent="0.25">
      <c r="B142" s="67"/>
      <c r="C142" s="128"/>
      <c r="D142" s="128"/>
      <c r="E142" s="155"/>
      <c r="F142" s="123"/>
      <c r="G142" s="124"/>
      <c r="H142" s="124"/>
      <c r="I142" s="124"/>
      <c r="J142" s="125"/>
      <c r="K142" s="207">
        <f>SUM(K141:K141)</f>
        <v>13.600000000000001</v>
      </c>
      <c r="L142" s="68"/>
      <c r="M142" s="69"/>
      <c r="N142" s="66"/>
      <c r="O142" s="70"/>
      <c r="P142" s="66"/>
      <c r="Q142" s="70"/>
      <c r="R142" s="21"/>
    </row>
    <row r="143" spans="2:18" s="1" customFormat="1" x14ac:dyDescent="0.25">
      <c r="B143" s="20"/>
      <c r="C143" s="238">
        <v>9</v>
      </c>
      <c r="D143" s="238"/>
      <c r="E143" s="281" t="s">
        <v>101</v>
      </c>
      <c r="F143" s="366" t="s">
        <v>193</v>
      </c>
      <c r="G143" s="367"/>
      <c r="H143" s="367"/>
      <c r="I143" s="367"/>
      <c r="J143" s="122" t="s">
        <v>76</v>
      </c>
      <c r="K143" s="243">
        <f>K145</f>
        <v>25.5</v>
      </c>
      <c r="L143" s="147"/>
      <c r="M143" s="109">
        <f t="shared" ref="M143" si="21">ROUND(L143*K143,2)</f>
        <v>0</v>
      </c>
      <c r="N143" s="77">
        <f>0.2024/2</f>
        <v>0.1012</v>
      </c>
      <c r="O143" s="156">
        <f t="shared" ref="O143" si="22">N143*K143</f>
        <v>2.5806</v>
      </c>
      <c r="P143" s="77"/>
      <c r="Q143" s="156">
        <f t="shared" ref="Q143" si="23">P143*K143</f>
        <v>0</v>
      </c>
      <c r="R143" s="21"/>
    </row>
    <row r="144" spans="2:18" s="1" customFormat="1" x14ac:dyDescent="0.25">
      <c r="B144" s="67"/>
      <c r="C144" s="128"/>
      <c r="D144" s="128"/>
      <c r="E144" s="284" t="s">
        <v>221</v>
      </c>
      <c r="F144" s="283" t="s">
        <v>251</v>
      </c>
      <c r="G144" s="176"/>
      <c r="H144" s="176"/>
      <c r="I144" s="176"/>
      <c r="J144" s="176"/>
      <c r="K144" s="242">
        <f>14.5+11</f>
        <v>25.5</v>
      </c>
      <c r="L144" s="68"/>
      <c r="M144" s="69"/>
      <c r="N144" s="66"/>
      <c r="O144" s="70"/>
      <c r="P144" s="66"/>
      <c r="Q144" s="70"/>
      <c r="R144" s="21"/>
    </row>
    <row r="145" spans="2:18" s="1" customFormat="1" x14ac:dyDescent="0.25">
      <c r="B145" s="67"/>
      <c r="C145" s="128"/>
      <c r="D145" s="128"/>
      <c r="E145" s="155"/>
      <c r="F145" s="123"/>
      <c r="G145" s="124"/>
      <c r="H145" s="124"/>
      <c r="I145" s="124"/>
      <c r="J145" s="125"/>
      <c r="K145" s="207">
        <f>SUM(K144:K144)</f>
        <v>25.5</v>
      </c>
      <c r="L145" s="68"/>
      <c r="M145" s="69"/>
      <c r="N145" s="66"/>
      <c r="O145" s="70"/>
      <c r="P145" s="66"/>
      <c r="Q145" s="70"/>
      <c r="R145" s="21"/>
    </row>
    <row r="146" spans="2:18" s="1" customFormat="1" x14ac:dyDescent="0.25">
      <c r="B146" s="20"/>
      <c r="C146" s="270">
        <v>10</v>
      </c>
      <c r="D146" s="270"/>
      <c r="E146" s="157" t="s">
        <v>121</v>
      </c>
      <c r="F146" s="361" t="s">
        <v>122</v>
      </c>
      <c r="G146" s="371"/>
      <c r="H146" s="371"/>
      <c r="I146" s="371"/>
      <c r="J146" s="126" t="s">
        <v>103</v>
      </c>
      <c r="K146" s="81">
        <f>K149/2</f>
        <v>11.3</v>
      </c>
      <c r="L146" s="148"/>
      <c r="M146" s="110">
        <f t="shared" si="18"/>
        <v>0</v>
      </c>
      <c r="N146" s="78"/>
      <c r="O146" s="170">
        <f t="shared" si="19"/>
        <v>0</v>
      </c>
      <c r="P146" s="78"/>
      <c r="Q146" s="170">
        <f t="shared" si="20"/>
        <v>0</v>
      </c>
      <c r="R146" s="104"/>
    </row>
    <row r="147" spans="2:18" s="1" customFormat="1" x14ac:dyDescent="0.25">
      <c r="B147" s="20"/>
      <c r="C147" s="271">
        <v>11</v>
      </c>
      <c r="D147" s="271"/>
      <c r="E147" s="158" t="s">
        <v>124</v>
      </c>
      <c r="F147" s="362" t="s">
        <v>123</v>
      </c>
      <c r="G147" s="363"/>
      <c r="H147" s="363"/>
      <c r="I147" s="363"/>
      <c r="J147" s="127" t="s">
        <v>103</v>
      </c>
      <c r="K147" s="111">
        <f>K146</f>
        <v>11.3</v>
      </c>
      <c r="L147" s="150"/>
      <c r="M147" s="112">
        <f t="shared" si="18"/>
        <v>0</v>
      </c>
      <c r="N147" s="80"/>
      <c r="O147" s="172">
        <f t="shared" si="19"/>
        <v>0</v>
      </c>
      <c r="P147" s="80"/>
      <c r="Q147" s="172">
        <f t="shared" si="20"/>
        <v>0</v>
      </c>
      <c r="R147" s="104"/>
    </row>
    <row r="148" spans="2:18" s="1" customFormat="1" x14ac:dyDescent="0.25">
      <c r="B148" s="67"/>
      <c r="C148" s="128"/>
      <c r="D148" s="128"/>
      <c r="E148" s="279"/>
      <c r="F148" s="280" t="s">
        <v>253</v>
      </c>
      <c r="G148" s="164"/>
      <c r="H148" s="164"/>
      <c r="I148" s="164"/>
      <c r="J148" s="164"/>
      <c r="K148" s="241">
        <f>0.2*(28+9+49+22+5)</f>
        <v>22.6</v>
      </c>
      <c r="L148" s="68"/>
      <c r="M148" s="69"/>
      <c r="N148" s="66"/>
      <c r="O148" s="70"/>
      <c r="P148" s="66"/>
      <c r="Q148" s="70"/>
      <c r="R148" s="21"/>
    </row>
    <row r="149" spans="2:18" s="1" customFormat="1" x14ac:dyDescent="0.25">
      <c r="B149" s="67"/>
      <c r="C149" s="128"/>
      <c r="D149" s="128"/>
      <c r="E149" s="155"/>
      <c r="F149" s="123"/>
      <c r="G149" s="124"/>
      <c r="H149" s="124"/>
      <c r="I149" s="124"/>
      <c r="J149" s="125"/>
      <c r="K149" s="207">
        <f>SUM(K148:K148)</f>
        <v>22.6</v>
      </c>
      <c r="L149" s="68"/>
      <c r="M149" s="69"/>
      <c r="N149" s="66"/>
      <c r="O149" s="70"/>
      <c r="P149" s="66"/>
      <c r="Q149" s="70"/>
      <c r="R149" s="21"/>
    </row>
    <row r="150" spans="2:18" s="1" customFormat="1" x14ac:dyDescent="0.25">
      <c r="B150" s="20"/>
      <c r="C150" s="270">
        <v>12</v>
      </c>
      <c r="D150" s="270"/>
      <c r="E150" s="157" t="s">
        <v>104</v>
      </c>
      <c r="F150" s="361" t="s">
        <v>105</v>
      </c>
      <c r="G150" s="371"/>
      <c r="H150" s="371"/>
      <c r="I150" s="371"/>
      <c r="J150" s="126" t="s">
        <v>103</v>
      </c>
      <c r="K150" s="81">
        <f>K154</f>
        <v>22.6</v>
      </c>
      <c r="L150" s="148"/>
      <c r="M150" s="110">
        <f t="shared" si="18"/>
        <v>0</v>
      </c>
      <c r="N150" s="78"/>
      <c r="O150" s="170">
        <f t="shared" si="19"/>
        <v>0</v>
      </c>
      <c r="P150" s="78"/>
      <c r="Q150" s="170">
        <f t="shared" si="20"/>
        <v>0</v>
      </c>
      <c r="R150" s="104"/>
    </row>
    <row r="151" spans="2:18" s="1" customFormat="1" x14ac:dyDescent="0.25">
      <c r="B151" s="20"/>
      <c r="C151" s="160">
        <v>13</v>
      </c>
      <c r="D151" s="160"/>
      <c r="E151" s="161" t="s">
        <v>129</v>
      </c>
      <c r="F151" s="372" t="s">
        <v>130</v>
      </c>
      <c r="G151" s="373"/>
      <c r="H151" s="373"/>
      <c r="I151" s="373"/>
      <c r="J151" s="129" t="s">
        <v>103</v>
      </c>
      <c r="K151" s="100">
        <f>K154</f>
        <v>22.6</v>
      </c>
      <c r="L151" s="149"/>
      <c r="M151" s="101">
        <f t="shared" si="18"/>
        <v>0</v>
      </c>
      <c r="N151" s="79"/>
      <c r="O151" s="171">
        <f t="shared" si="19"/>
        <v>0</v>
      </c>
      <c r="P151" s="79"/>
      <c r="Q151" s="171">
        <f t="shared" si="20"/>
        <v>0</v>
      </c>
      <c r="R151" s="104"/>
    </row>
    <row r="152" spans="2:18" s="1" customFormat="1" x14ac:dyDescent="0.25">
      <c r="B152" s="20"/>
      <c r="C152" s="271">
        <v>14</v>
      </c>
      <c r="D152" s="271"/>
      <c r="E152" s="158"/>
      <c r="F152" s="362" t="s">
        <v>116</v>
      </c>
      <c r="G152" s="363"/>
      <c r="H152" s="363"/>
      <c r="I152" s="363"/>
      <c r="J152" s="127" t="s">
        <v>79</v>
      </c>
      <c r="K152" s="111">
        <f>K154*1.85</f>
        <v>41.81</v>
      </c>
      <c r="L152" s="150"/>
      <c r="M152" s="112">
        <f t="shared" si="18"/>
        <v>0</v>
      </c>
      <c r="N152" s="80"/>
      <c r="O152" s="172">
        <f t="shared" si="19"/>
        <v>0</v>
      </c>
      <c r="P152" s="80"/>
      <c r="Q152" s="172">
        <f t="shared" si="20"/>
        <v>0</v>
      </c>
      <c r="R152" s="104"/>
    </row>
    <row r="153" spans="2:18" s="1" customFormat="1" x14ac:dyDescent="0.25">
      <c r="B153" s="67"/>
      <c r="C153" s="128"/>
      <c r="D153" s="128"/>
      <c r="E153" s="282"/>
      <c r="F153" s="154"/>
      <c r="G153" s="154"/>
      <c r="H153" s="154"/>
      <c r="I153" s="154"/>
      <c r="J153" s="154"/>
      <c r="K153" s="240">
        <f>K149</f>
        <v>22.6</v>
      </c>
      <c r="L153" s="68"/>
      <c r="M153" s="69"/>
      <c r="N153" s="66"/>
      <c r="O153" s="70"/>
      <c r="P153" s="66"/>
      <c r="Q153" s="70"/>
      <c r="R153" s="21"/>
    </row>
    <row r="154" spans="2:18" s="1" customFormat="1" x14ac:dyDescent="0.25">
      <c r="B154" s="20"/>
      <c r="C154" s="183"/>
      <c r="D154" s="183"/>
      <c r="E154" s="155"/>
      <c r="F154" s="123"/>
      <c r="G154" s="124"/>
      <c r="H154" s="124"/>
      <c r="I154" s="124"/>
      <c r="J154" s="125"/>
      <c r="K154" s="207">
        <f>SUM(K153:K153)</f>
        <v>22.6</v>
      </c>
      <c r="L154" s="174"/>
      <c r="M154" s="85"/>
      <c r="N154" s="173"/>
      <c r="O154" s="113"/>
      <c r="P154" s="173"/>
      <c r="Q154" s="113"/>
      <c r="R154" s="21"/>
    </row>
    <row r="155" spans="2:18" s="1" customFormat="1" ht="13.5" customHeight="1" x14ac:dyDescent="0.25">
      <c r="B155" s="20"/>
      <c r="C155" s="270">
        <v>15</v>
      </c>
      <c r="D155" s="270"/>
      <c r="E155" s="157" t="s">
        <v>181</v>
      </c>
      <c r="F155" s="361" t="s">
        <v>182</v>
      </c>
      <c r="G155" s="361"/>
      <c r="H155" s="361"/>
      <c r="I155" s="361"/>
      <c r="J155" s="126" t="s">
        <v>76</v>
      </c>
      <c r="K155" s="81">
        <f>K161</f>
        <v>22</v>
      </c>
      <c r="L155" s="148"/>
      <c r="M155" s="110">
        <f t="shared" ref="M155:M158" si="24">ROUND(L155*K155,2)</f>
        <v>0</v>
      </c>
      <c r="N155" s="78"/>
      <c r="O155" s="170">
        <f t="shared" ref="O155:O158" si="25">N155*K155</f>
        <v>0</v>
      </c>
      <c r="P155" s="78"/>
      <c r="Q155" s="170">
        <f t="shared" ref="Q155:Q158" si="26">P155*K155</f>
        <v>0</v>
      </c>
      <c r="R155" s="104"/>
    </row>
    <row r="156" spans="2:18" s="1" customFormat="1" ht="30" customHeight="1" x14ac:dyDescent="0.25">
      <c r="B156" s="20"/>
      <c r="C156" s="160">
        <v>16</v>
      </c>
      <c r="D156" s="160"/>
      <c r="E156" s="161" t="s">
        <v>181</v>
      </c>
      <c r="F156" s="372" t="s">
        <v>245</v>
      </c>
      <c r="G156" s="372"/>
      <c r="H156" s="372"/>
      <c r="I156" s="372"/>
      <c r="J156" s="129" t="s">
        <v>76</v>
      </c>
      <c r="K156" s="100">
        <f>K160</f>
        <v>11</v>
      </c>
      <c r="L156" s="149"/>
      <c r="M156" s="101">
        <f t="shared" ref="M156" si="27">ROUND(L156*K156,2)</f>
        <v>0</v>
      </c>
      <c r="N156" s="79"/>
      <c r="O156" s="171">
        <f t="shared" ref="O156" si="28">N156*K156</f>
        <v>0</v>
      </c>
      <c r="P156" s="79"/>
      <c r="Q156" s="171">
        <f t="shared" ref="Q156" si="29">P156*K156</f>
        <v>0</v>
      </c>
      <c r="R156" s="104"/>
    </row>
    <row r="157" spans="2:18" s="1" customFormat="1" x14ac:dyDescent="0.25">
      <c r="B157" s="20"/>
      <c r="C157" s="160">
        <v>17</v>
      </c>
      <c r="D157" s="160"/>
      <c r="E157" s="161" t="s">
        <v>117</v>
      </c>
      <c r="F157" s="372" t="s">
        <v>118</v>
      </c>
      <c r="G157" s="373"/>
      <c r="H157" s="373"/>
      <c r="I157" s="373"/>
      <c r="J157" s="129" t="s">
        <v>76</v>
      </c>
      <c r="K157" s="100">
        <f>K161</f>
        <v>22</v>
      </c>
      <c r="L157" s="149"/>
      <c r="M157" s="101">
        <f t="shared" si="24"/>
        <v>0</v>
      </c>
      <c r="N157" s="79">
        <v>2.0000000000000002E-5</v>
      </c>
      <c r="O157" s="171">
        <f t="shared" si="25"/>
        <v>4.4000000000000002E-4</v>
      </c>
      <c r="P157" s="79"/>
      <c r="Q157" s="171">
        <f t="shared" si="26"/>
        <v>0</v>
      </c>
      <c r="R157" s="104"/>
    </row>
    <row r="158" spans="2:18" s="1" customFormat="1" x14ac:dyDescent="0.25">
      <c r="B158" s="20"/>
      <c r="C158" s="271">
        <v>18</v>
      </c>
      <c r="D158" s="271"/>
      <c r="E158" s="158" t="s">
        <v>117</v>
      </c>
      <c r="F158" s="362" t="s">
        <v>127</v>
      </c>
      <c r="G158" s="363"/>
      <c r="H158" s="363"/>
      <c r="I158" s="363"/>
      <c r="J158" s="127" t="s">
        <v>128</v>
      </c>
      <c r="K158" s="111">
        <f>ROUNDUP(K161*0.02,0)</f>
        <v>1</v>
      </c>
      <c r="L158" s="150"/>
      <c r="M158" s="112">
        <f t="shared" si="24"/>
        <v>0</v>
      </c>
      <c r="N158" s="80">
        <v>1E-3</v>
      </c>
      <c r="O158" s="172">
        <f t="shared" si="25"/>
        <v>1E-3</v>
      </c>
      <c r="P158" s="80"/>
      <c r="Q158" s="172">
        <f t="shared" si="26"/>
        <v>0</v>
      </c>
      <c r="R158" s="104"/>
    </row>
    <row r="159" spans="2:18" s="1" customFormat="1" x14ac:dyDescent="0.25">
      <c r="B159" s="67"/>
      <c r="C159" s="128"/>
      <c r="D159" s="128"/>
      <c r="E159" s="279" t="s">
        <v>108</v>
      </c>
      <c r="F159" s="280"/>
      <c r="G159" s="164"/>
      <c r="H159" s="164"/>
      <c r="I159" s="164"/>
      <c r="J159" s="164"/>
      <c r="K159" s="241">
        <v>11</v>
      </c>
      <c r="L159" s="68"/>
      <c r="M159" s="69"/>
      <c r="N159" s="66"/>
      <c r="O159" s="70"/>
      <c r="P159" s="66"/>
      <c r="Q159" s="70"/>
      <c r="R159" s="21"/>
    </row>
    <row r="160" spans="2:18" s="1" customFormat="1" x14ac:dyDescent="0.25">
      <c r="B160" s="67"/>
      <c r="C160" s="128"/>
      <c r="D160" s="128"/>
      <c r="E160" s="284" t="s">
        <v>221</v>
      </c>
      <c r="F160" s="283"/>
      <c r="G160" s="176"/>
      <c r="H160" s="176"/>
      <c r="I160" s="176"/>
      <c r="J160" s="176"/>
      <c r="K160" s="242">
        <v>11</v>
      </c>
      <c r="L160" s="68"/>
      <c r="M160" s="69"/>
      <c r="N160" s="66"/>
      <c r="O160" s="70"/>
      <c r="P160" s="66"/>
      <c r="Q160" s="70"/>
      <c r="R160" s="21"/>
    </row>
    <row r="161" spans="2:19" s="1" customFormat="1" x14ac:dyDescent="0.25">
      <c r="B161" s="67"/>
      <c r="C161" s="128"/>
      <c r="D161" s="128"/>
      <c r="E161" s="155"/>
      <c r="F161" s="123"/>
      <c r="G161" s="124"/>
      <c r="H161" s="124"/>
      <c r="I161" s="124"/>
      <c r="J161" s="125"/>
      <c r="K161" s="207">
        <f>SUM(K159:K160)</f>
        <v>22</v>
      </c>
      <c r="L161" s="68"/>
      <c r="M161" s="69"/>
      <c r="N161" s="66"/>
      <c r="O161" s="70"/>
      <c r="P161" s="66"/>
      <c r="Q161" s="70"/>
      <c r="R161" s="21"/>
    </row>
    <row r="162" spans="2:19" s="1" customFormat="1" ht="26.25" customHeight="1" x14ac:dyDescent="0.25">
      <c r="B162" s="20"/>
      <c r="C162" s="270">
        <v>19</v>
      </c>
      <c r="D162" s="270"/>
      <c r="E162" s="157" t="s">
        <v>104</v>
      </c>
      <c r="F162" s="361" t="s">
        <v>176</v>
      </c>
      <c r="G162" s="371"/>
      <c r="H162" s="371"/>
      <c r="I162" s="371"/>
      <c r="J162" s="126" t="s">
        <v>103</v>
      </c>
      <c r="K162" s="81">
        <f>K167</f>
        <v>9.2000000000000011</v>
      </c>
      <c r="L162" s="148"/>
      <c r="M162" s="110">
        <f t="shared" ref="M162:M164" si="30">ROUND(L162*K162,2)</f>
        <v>0</v>
      </c>
      <c r="N162" s="78"/>
      <c r="O162" s="170">
        <f t="shared" ref="O162:O164" si="31">N162*K162</f>
        <v>0</v>
      </c>
      <c r="P162" s="78"/>
      <c r="Q162" s="170">
        <f t="shared" ref="Q162:Q164" si="32">P162*K162</f>
        <v>0</v>
      </c>
      <c r="R162" s="104"/>
    </row>
    <row r="163" spans="2:19" s="1" customFormat="1" x14ac:dyDescent="0.25">
      <c r="B163" s="20"/>
      <c r="C163" s="160">
        <v>20</v>
      </c>
      <c r="D163" s="160"/>
      <c r="E163" s="161" t="s">
        <v>179</v>
      </c>
      <c r="F163" s="372" t="s">
        <v>180</v>
      </c>
      <c r="G163" s="373"/>
      <c r="H163" s="373"/>
      <c r="I163" s="373"/>
      <c r="J163" s="129" t="s">
        <v>103</v>
      </c>
      <c r="K163" s="100">
        <f>K167</f>
        <v>9.2000000000000011</v>
      </c>
      <c r="L163" s="149"/>
      <c r="M163" s="101">
        <f t="shared" si="30"/>
        <v>0</v>
      </c>
      <c r="N163" s="79"/>
      <c r="O163" s="171">
        <f t="shared" si="31"/>
        <v>0</v>
      </c>
      <c r="P163" s="79"/>
      <c r="Q163" s="171">
        <f t="shared" si="32"/>
        <v>0</v>
      </c>
      <c r="R163" s="104"/>
    </row>
    <row r="164" spans="2:19" s="1" customFormat="1" ht="13.5" customHeight="1" x14ac:dyDescent="0.25">
      <c r="B164" s="20"/>
      <c r="C164" s="271">
        <v>21</v>
      </c>
      <c r="D164" s="271"/>
      <c r="E164" s="158" t="s">
        <v>125</v>
      </c>
      <c r="F164" s="362" t="s">
        <v>126</v>
      </c>
      <c r="G164" s="362"/>
      <c r="H164" s="362"/>
      <c r="I164" s="362"/>
      <c r="J164" s="127" t="s">
        <v>76</v>
      </c>
      <c r="K164" s="111">
        <f>K162/0.2</f>
        <v>46</v>
      </c>
      <c r="L164" s="150"/>
      <c r="M164" s="112">
        <f t="shared" si="30"/>
        <v>0</v>
      </c>
      <c r="N164" s="80"/>
      <c r="O164" s="172">
        <f t="shared" si="31"/>
        <v>0</v>
      </c>
      <c r="P164" s="80"/>
      <c r="Q164" s="172">
        <f t="shared" si="32"/>
        <v>0</v>
      </c>
      <c r="R164" s="104"/>
    </row>
    <row r="165" spans="2:19" s="1" customFormat="1" x14ac:dyDescent="0.25">
      <c r="B165" s="67"/>
      <c r="C165" s="128"/>
      <c r="D165" s="128"/>
      <c r="E165" s="284" t="s">
        <v>177</v>
      </c>
      <c r="F165" s="285"/>
      <c r="G165" s="200"/>
      <c r="H165" s="200"/>
      <c r="I165" s="200"/>
      <c r="J165" s="179"/>
      <c r="K165" s="239">
        <f>K142</f>
        <v>13.600000000000001</v>
      </c>
      <c r="L165" s="68"/>
      <c r="M165" s="69"/>
      <c r="N165" s="66"/>
      <c r="O165" s="70"/>
      <c r="P165" s="66"/>
      <c r="Q165" s="70"/>
      <c r="R165" s="21"/>
    </row>
    <row r="166" spans="2:19" s="1" customFormat="1" x14ac:dyDescent="0.25">
      <c r="B166" s="67"/>
      <c r="C166" s="128"/>
      <c r="D166" s="128"/>
      <c r="E166" s="284" t="s">
        <v>178</v>
      </c>
      <c r="F166" s="285"/>
      <c r="G166" s="200"/>
      <c r="H166" s="200"/>
      <c r="I166" s="200"/>
      <c r="J166" s="179"/>
      <c r="K166" s="239">
        <f>-K161*0.2</f>
        <v>-4.4000000000000004</v>
      </c>
      <c r="L166" s="68"/>
      <c r="M166" s="69"/>
      <c r="N166" s="66"/>
      <c r="O166" s="70"/>
      <c r="P166" s="66"/>
      <c r="Q166" s="70"/>
      <c r="R166" s="21"/>
    </row>
    <row r="167" spans="2:19" s="1" customFormat="1" x14ac:dyDescent="0.25">
      <c r="B167" s="67"/>
      <c r="C167" s="128"/>
      <c r="D167" s="128"/>
      <c r="E167" s="155"/>
      <c r="F167" s="123"/>
      <c r="G167" s="124"/>
      <c r="H167" s="124"/>
      <c r="I167" s="124"/>
      <c r="J167" s="125"/>
      <c r="K167" s="207">
        <f>SUM(K165:K166)</f>
        <v>9.2000000000000011</v>
      </c>
      <c r="L167" s="68"/>
      <c r="M167" s="69"/>
      <c r="N167" s="66"/>
      <c r="O167" s="70"/>
      <c r="P167" s="66"/>
      <c r="Q167" s="70"/>
      <c r="R167" s="21"/>
    </row>
    <row r="168" spans="2:19" s="1" customFormat="1" x14ac:dyDescent="0.25">
      <c r="B168" s="20"/>
      <c r="C168" s="238">
        <v>22</v>
      </c>
      <c r="D168" s="238"/>
      <c r="E168" s="281" t="s">
        <v>106</v>
      </c>
      <c r="F168" s="366" t="s">
        <v>107</v>
      </c>
      <c r="G168" s="367"/>
      <c r="H168" s="367"/>
      <c r="I168" s="367"/>
      <c r="J168" s="122" t="s">
        <v>76</v>
      </c>
      <c r="K168" s="243">
        <f>K172</f>
        <v>241.8</v>
      </c>
      <c r="L168" s="147"/>
      <c r="M168" s="109">
        <f t="shared" si="18"/>
        <v>0</v>
      </c>
      <c r="N168" s="77"/>
      <c r="O168" s="156">
        <f t="shared" si="19"/>
        <v>0</v>
      </c>
      <c r="P168" s="77"/>
      <c r="Q168" s="156">
        <f t="shared" si="20"/>
        <v>0</v>
      </c>
      <c r="R168" s="104"/>
    </row>
    <row r="169" spans="2:19" s="1" customFormat="1" x14ac:dyDescent="0.25">
      <c r="B169" s="67"/>
      <c r="C169" s="128"/>
      <c r="D169" s="128"/>
      <c r="E169" s="284" t="s">
        <v>247</v>
      </c>
      <c r="F169" s="283" t="s">
        <v>255</v>
      </c>
      <c r="G169" s="176"/>
      <c r="H169" s="176"/>
      <c r="I169" s="176"/>
      <c r="J169" s="176"/>
      <c r="K169" s="242">
        <f>125+28.8</f>
        <v>153.80000000000001</v>
      </c>
      <c r="L169" s="68"/>
      <c r="M169" s="69"/>
      <c r="N169" s="66"/>
      <c r="O169" s="70"/>
      <c r="P169" s="66"/>
      <c r="Q169" s="70"/>
      <c r="R169" s="21"/>
    </row>
    <row r="170" spans="2:19" s="1" customFormat="1" x14ac:dyDescent="0.25">
      <c r="B170" s="67"/>
      <c r="C170" s="128"/>
      <c r="D170" s="128"/>
      <c r="E170" s="284" t="s">
        <v>243</v>
      </c>
      <c r="F170" s="283"/>
      <c r="G170" s="176"/>
      <c r="H170" s="176"/>
      <c r="I170" s="176"/>
      <c r="J170" s="176"/>
      <c r="K170" s="242">
        <v>41</v>
      </c>
      <c r="L170" s="68"/>
      <c r="M170" s="69"/>
      <c r="N170" s="66"/>
      <c r="O170" s="70"/>
      <c r="P170" s="66"/>
      <c r="Q170" s="70"/>
      <c r="R170" s="21"/>
    </row>
    <row r="171" spans="2:19" s="1" customFormat="1" x14ac:dyDescent="0.25">
      <c r="B171" s="67"/>
      <c r="C171" s="128"/>
      <c r="D171" s="128"/>
      <c r="E171" s="284" t="s">
        <v>183</v>
      </c>
      <c r="F171" s="283"/>
      <c r="G171" s="176"/>
      <c r="H171" s="176"/>
      <c r="I171" s="176"/>
      <c r="J171" s="176"/>
      <c r="K171" s="242">
        <v>47</v>
      </c>
      <c r="L171" s="68"/>
      <c r="M171" s="69"/>
      <c r="N171" s="66"/>
      <c r="O171" s="70"/>
      <c r="P171" s="66"/>
      <c r="Q171" s="70"/>
      <c r="R171" s="21"/>
    </row>
    <row r="172" spans="2:19" s="1" customFormat="1" x14ac:dyDescent="0.25">
      <c r="B172" s="67"/>
      <c r="C172" s="128"/>
      <c r="D172" s="128"/>
      <c r="E172" s="155"/>
      <c r="F172" s="123"/>
      <c r="G172" s="124"/>
      <c r="H172" s="124"/>
      <c r="I172" s="124"/>
      <c r="J172" s="125"/>
      <c r="K172" s="207">
        <f>SUM(K169:K171)</f>
        <v>241.8</v>
      </c>
      <c r="L172" s="68"/>
      <c r="M172" s="69"/>
      <c r="N172" s="66"/>
      <c r="O172" s="70"/>
      <c r="P172" s="66"/>
      <c r="Q172" s="70"/>
      <c r="R172" s="21"/>
    </row>
    <row r="173" spans="2:19" s="177" customFormat="1" ht="18" x14ac:dyDescent="0.35">
      <c r="B173" s="178"/>
      <c r="C173" s="286"/>
      <c r="D173" s="287" t="s">
        <v>212</v>
      </c>
      <c r="E173" s="287"/>
      <c r="F173" s="287"/>
      <c r="G173" s="287"/>
      <c r="H173" s="287"/>
      <c r="I173" s="287"/>
      <c r="J173" s="82"/>
      <c r="K173" s="135"/>
      <c r="L173" s="82"/>
      <c r="M173" s="108">
        <f>SUM(M174:M182)</f>
        <v>0</v>
      </c>
      <c r="N173" s="249"/>
      <c r="O173" s="98">
        <f>SUM(O174:O182)</f>
        <v>161</v>
      </c>
      <c r="P173" s="249"/>
      <c r="Q173" s="98">
        <f>SUM(Q174:Q182)</f>
        <v>0</v>
      </c>
      <c r="R173" s="103"/>
      <c r="S173" s="97"/>
    </row>
    <row r="174" spans="2:19" s="1" customFormat="1" x14ac:dyDescent="0.25">
      <c r="B174" s="20"/>
      <c r="C174" s="270">
        <v>23</v>
      </c>
      <c r="D174" s="270"/>
      <c r="E174" s="157" t="s">
        <v>121</v>
      </c>
      <c r="F174" s="361" t="s">
        <v>122</v>
      </c>
      <c r="G174" s="371"/>
      <c r="H174" s="371"/>
      <c r="I174" s="371"/>
      <c r="J174" s="126" t="s">
        <v>103</v>
      </c>
      <c r="K174" s="81">
        <f>K180/2</f>
        <v>35</v>
      </c>
      <c r="L174" s="148"/>
      <c r="M174" s="110">
        <f t="shared" ref="M174:M175" si="33">ROUND(L174*K174,2)</f>
        <v>0</v>
      </c>
      <c r="N174" s="78"/>
      <c r="O174" s="170">
        <f t="shared" ref="O174:O175" si="34">N174*K174</f>
        <v>0</v>
      </c>
      <c r="P174" s="78"/>
      <c r="Q174" s="170">
        <f t="shared" ref="Q174:Q175" si="35">P174*K174</f>
        <v>0</v>
      </c>
      <c r="R174" s="104"/>
    </row>
    <row r="175" spans="2:19" s="1" customFormat="1" x14ac:dyDescent="0.25">
      <c r="B175" s="20"/>
      <c r="C175" s="160">
        <v>24</v>
      </c>
      <c r="D175" s="160"/>
      <c r="E175" s="161" t="s">
        <v>124</v>
      </c>
      <c r="F175" s="372" t="s">
        <v>123</v>
      </c>
      <c r="G175" s="373"/>
      <c r="H175" s="373"/>
      <c r="I175" s="373"/>
      <c r="J175" s="129" t="s">
        <v>103</v>
      </c>
      <c r="K175" s="100">
        <f>K174</f>
        <v>35</v>
      </c>
      <c r="L175" s="149"/>
      <c r="M175" s="101">
        <f t="shared" si="33"/>
        <v>0</v>
      </c>
      <c r="N175" s="79"/>
      <c r="O175" s="171">
        <f t="shared" si="34"/>
        <v>0</v>
      </c>
      <c r="P175" s="79"/>
      <c r="Q175" s="171">
        <f t="shared" si="35"/>
        <v>0</v>
      </c>
      <c r="R175" s="104"/>
    </row>
    <row r="176" spans="2:19" s="1" customFormat="1" x14ac:dyDescent="0.25">
      <c r="B176" s="20"/>
      <c r="C176" s="160">
        <v>25</v>
      </c>
      <c r="D176" s="160"/>
      <c r="E176" s="161" t="s">
        <v>104</v>
      </c>
      <c r="F176" s="372" t="s">
        <v>105</v>
      </c>
      <c r="G176" s="373"/>
      <c r="H176" s="373"/>
      <c r="I176" s="373"/>
      <c r="J176" s="129" t="s">
        <v>103</v>
      </c>
      <c r="K176" s="100">
        <f>K180</f>
        <v>70</v>
      </c>
      <c r="L176" s="149"/>
      <c r="M176" s="101">
        <f t="shared" ref="M176:M178" si="36">ROUND(L176*K176,2)</f>
        <v>0</v>
      </c>
      <c r="N176" s="79"/>
      <c r="O176" s="171">
        <f t="shared" ref="O176:O178" si="37">N176*K176</f>
        <v>0</v>
      </c>
      <c r="P176" s="79"/>
      <c r="Q176" s="171">
        <f t="shared" ref="Q176:Q178" si="38">P176*K176</f>
        <v>0</v>
      </c>
      <c r="R176" s="104"/>
    </row>
    <row r="177" spans="2:18" s="1" customFormat="1" x14ac:dyDescent="0.25">
      <c r="B177" s="20"/>
      <c r="C177" s="160">
        <v>26</v>
      </c>
      <c r="D177" s="160"/>
      <c r="E177" s="161" t="s">
        <v>129</v>
      </c>
      <c r="F177" s="372" t="s">
        <v>130</v>
      </c>
      <c r="G177" s="373"/>
      <c r="H177" s="373"/>
      <c r="I177" s="373"/>
      <c r="J177" s="129" t="s">
        <v>103</v>
      </c>
      <c r="K177" s="100">
        <f>K180</f>
        <v>70</v>
      </c>
      <c r="L177" s="149"/>
      <c r="M177" s="101">
        <f t="shared" si="36"/>
        <v>0</v>
      </c>
      <c r="N177" s="79"/>
      <c r="O177" s="171">
        <f t="shared" si="37"/>
        <v>0</v>
      </c>
      <c r="P177" s="79"/>
      <c r="Q177" s="171">
        <f t="shared" si="38"/>
        <v>0</v>
      </c>
      <c r="R177" s="104"/>
    </row>
    <row r="178" spans="2:18" s="1" customFormat="1" x14ac:dyDescent="0.25">
      <c r="B178" s="20"/>
      <c r="C178" s="271">
        <v>27</v>
      </c>
      <c r="D178" s="271"/>
      <c r="E178" s="158"/>
      <c r="F178" s="362" t="s">
        <v>116</v>
      </c>
      <c r="G178" s="363"/>
      <c r="H178" s="363"/>
      <c r="I178" s="363"/>
      <c r="J178" s="127" t="s">
        <v>79</v>
      </c>
      <c r="K178" s="111">
        <f>K180*1.85</f>
        <v>129.5</v>
      </c>
      <c r="L178" s="150"/>
      <c r="M178" s="112">
        <f t="shared" si="36"/>
        <v>0</v>
      </c>
      <c r="N178" s="80"/>
      <c r="O178" s="172">
        <f t="shared" si="37"/>
        <v>0</v>
      </c>
      <c r="P178" s="80"/>
      <c r="Q178" s="172">
        <f t="shared" si="38"/>
        <v>0</v>
      </c>
      <c r="R178" s="104"/>
    </row>
    <row r="179" spans="2:18" s="1" customFormat="1" x14ac:dyDescent="0.25">
      <c r="B179" s="67"/>
      <c r="C179" s="128"/>
      <c r="D179" s="128"/>
      <c r="E179" s="279"/>
      <c r="F179" s="280" t="s">
        <v>248</v>
      </c>
      <c r="G179" s="164"/>
      <c r="H179" s="164"/>
      <c r="I179" s="164"/>
      <c r="J179" s="164"/>
      <c r="K179" s="241">
        <f>200*0.35</f>
        <v>70</v>
      </c>
      <c r="L179" s="68"/>
      <c r="M179" s="69"/>
      <c r="N179" s="66"/>
      <c r="O179" s="70"/>
      <c r="P179" s="66"/>
      <c r="Q179" s="70"/>
      <c r="R179" s="21"/>
    </row>
    <row r="180" spans="2:18" s="1" customFormat="1" x14ac:dyDescent="0.25">
      <c r="B180" s="67"/>
      <c r="C180" s="128"/>
      <c r="D180" s="128"/>
      <c r="E180" s="155"/>
      <c r="F180" s="123"/>
      <c r="G180" s="124"/>
      <c r="H180" s="124"/>
      <c r="I180" s="124"/>
      <c r="J180" s="125"/>
      <c r="K180" s="207">
        <f>SUM(K179:K179)</f>
        <v>70</v>
      </c>
      <c r="L180" s="68"/>
      <c r="M180" s="69"/>
      <c r="N180" s="66"/>
      <c r="O180" s="70"/>
      <c r="P180" s="66"/>
      <c r="Q180" s="70"/>
      <c r="R180" s="21"/>
    </row>
    <row r="181" spans="2:18" s="1" customFormat="1" ht="13.5" customHeight="1" x14ac:dyDescent="0.25">
      <c r="B181" s="20"/>
      <c r="C181" s="270">
        <v>28</v>
      </c>
      <c r="D181" s="270"/>
      <c r="E181" s="157" t="s">
        <v>112</v>
      </c>
      <c r="F181" s="361" t="s">
        <v>113</v>
      </c>
      <c r="G181" s="361"/>
      <c r="H181" s="361"/>
      <c r="I181" s="361"/>
      <c r="J181" s="126" t="s">
        <v>76</v>
      </c>
      <c r="K181" s="81">
        <f>K184</f>
        <v>200</v>
      </c>
      <c r="L181" s="148"/>
      <c r="M181" s="110">
        <f t="shared" ref="M181:M182" si="39">ROUND(L181*K181,2)</f>
        <v>0</v>
      </c>
      <c r="N181" s="78">
        <v>0.34499999999999997</v>
      </c>
      <c r="O181" s="170">
        <f t="shared" ref="O181:O182" si="40">N181*K181</f>
        <v>69</v>
      </c>
      <c r="P181" s="78"/>
      <c r="Q181" s="170">
        <f t="shared" ref="Q181:Q182" si="41">P181*K181</f>
        <v>0</v>
      </c>
      <c r="R181" s="104"/>
    </row>
    <row r="182" spans="2:18" s="1" customFormat="1" ht="13.5" customHeight="1" x14ac:dyDescent="0.25">
      <c r="B182" s="20"/>
      <c r="C182" s="271">
        <v>29</v>
      </c>
      <c r="D182" s="271"/>
      <c r="E182" s="158" t="s">
        <v>115</v>
      </c>
      <c r="F182" s="362" t="s">
        <v>114</v>
      </c>
      <c r="G182" s="362"/>
      <c r="H182" s="362"/>
      <c r="I182" s="362"/>
      <c r="J182" s="127" t="s">
        <v>76</v>
      </c>
      <c r="K182" s="111">
        <f>K181</f>
        <v>200</v>
      </c>
      <c r="L182" s="150"/>
      <c r="M182" s="112">
        <f t="shared" si="39"/>
        <v>0</v>
      </c>
      <c r="N182" s="80">
        <v>0.46</v>
      </c>
      <c r="O182" s="172">
        <f t="shared" si="40"/>
        <v>92</v>
      </c>
      <c r="P182" s="80"/>
      <c r="Q182" s="172">
        <f t="shared" si="41"/>
        <v>0</v>
      </c>
      <c r="R182" s="104"/>
    </row>
    <row r="183" spans="2:18" s="1" customFormat="1" x14ac:dyDescent="0.25">
      <c r="B183" s="67"/>
      <c r="C183" s="128"/>
      <c r="D183" s="128"/>
      <c r="E183" s="284"/>
      <c r="F183" s="283"/>
      <c r="G183" s="176"/>
      <c r="H183" s="176"/>
      <c r="I183" s="176"/>
      <c r="J183" s="176"/>
      <c r="K183" s="242">
        <v>200</v>
      </c>
      <c r="L183" s="68"/>
      <c r="M183" s="69"/>
      <c r="N183" s="66"/>
      <c r="O183" s="70"/>
      <c r="P183" s="66"/>
      <c r="Q183" s="70"/>
      <c r="R183" s="21"/>
    </row>
    <row r="184" spans="2:18" s="1" customFormat="1" x14ac:dyDescent="0.25">
      <c r="B184" s="67"/>
      <c r="C184" s="128"/>
      <c r="D184" s="128"/>
      <c r="E184" s="155"/>
      <c r="F184" s="123"/>
      <c r="G184" s="124"/>
      <c r="H184" s="124"/>
      <c r="I184" s="124"/>
      <c r="J184" s="125"/>
      <c r="K184" s="207">
        <f>SUM(K183:K183)</f>
        <v>200</v>
      </c>
      <c r="L184" s="68"/>
      <c r="M184" s="69"/>
      <c r="N184" s="66"/>
      <c r="O184" s="70"/>
      <c r="P184" s="66"/>
      <c r="Q184" s="70"/>
      <c r="R184" s="21"/>
    </row>
    <row r="185" spans="2:18" s="97" customFormat="1" ht="15" x14ac:dyDescent="0.3">
      <c r="B185" s="96"/>
      <c r="D185" s="82" t="s">
        <v>65</v>
      </c>
      <c r="E185" s="82"/>
      <c r="F185" s="82"/>
      <c r="G185" s="82"/>
      <c r="H185" s="82"/>
      <c r="I185" s="82"/>
      <c r="J185" s="82"/>
      <c r="K185" s="135"/>
      <c r="L185" s="82"/>
      <c r="M185" s="108">
        <f>SUM(M186:M231)</f>
        <v>0</v>
      </c>
      <c r="N185" s="249"/>
      <c r="O185" s="98">
        <f>SUM(O186:O231)</f>
        <v>228.23703200000003</v>
      </c>
      <c r="P185" s="249"/>
      <c r="Q185" s="98">
        <f>SUM(Q186:Q231)</f>
        <v>0</v>
      </c>
      <c r="R185" s="103"/>
    </row>
    <row r="186" spans="2:18" s="1" customFormat="1" ht="13.5" customHeight="1" x14ac:dyDescent="0.25">
      <c r="B186" s="20"/>
      <c r="C186" s="270">
        <v>30</v>
      </c>
      <c r="D186" s="270"/>
      <c r="E186" s="157" t="s">
        <v>115</v>
      </c>
      <c r="F186" s="361" t="s">
        <v>114</v>
      </c>
      <c r="G186" s="361"/>
      <c r="H186" s="361"/>
      <c r="I186" s="361"/>
      <c r="J186" s="126" t="s">
        <v>76</v>
      </c>
      <c r="K186" s="81">
        <f>K191</f>
        <v>47</v>
      </c>
      <c r="L186" s="148"/>
      <c r="M186" s="110">
        <f t="shared" ref="M186:M187" si="42">ROUND(L186*K186,2)</f>
        <v>0</v>
      </c>
      <c r="N186" s="78">
        <v>0.46</v>
      </c>
      <c r="O186" s="170">
        <f t="shared" ref="O186:O188" si="43">N186*K186</f>
        <v>21.62</v>
      </c>
      <c r="P186" s="78"/>
      <c r="Q186" s="170">
        <f t="shared" ref="Q186:Q188" si="44">P186*K186</f>
        <v>0</v>
      </c>
      <c r="R186" s="104"/>
    </row>
    <row r="187" spans="2:18" s="1" customFormat="1" ht="13.5" customHeight="1" x14ac:dyDescent="0.25">
      <c r="B187" s="138"/>
      <c r="C187" s="160">
        <v>31</v>
      </c>
      <c r="D187" s="160"/>
      <c r="E187" s="161" t="s">
        <v>184</v>
      </c>
      <c r="F187" s="372" t="s">
        <v>185</v>
      </c>
      <c r="G187" s="372"/>
      <c r="H187" s="372"/>
      <c r="I187" s="372"/>
      <c r="J187" s="129" t="s">
        <v>76</v>
      </c>
      <c r="K187" s="100">
        <f>K190</f>
        <v>47</v>
      </c>
      <c r="L187" s="149"/>
      <c r="M187" s="101">
        <f t="shared" si="42"/>
        <v>0</v>
      </c>
      <c r="N187" s="79">
        <v>0.30651</v>
      </c>
      <c r="O187" s="219">
        <f t="shared" si="43"/>
        <v>14.40597</v>
      </c>
      <c r="P187" s="79"/>
      <c r="Q187" s="171">
        <f>P187*K187</f>
        <v>0</v>
      </c>
      <c r="R187" s="140"/>
    </row>
    <row r="188" spans="2:18" s="1" customFormat="1" x14ac:dyDescent="0.25">
      <c r="B188" s="20"/>
      <c r="C188" s="160">
        <v>32</v>
      </c>
      <c r="D188" s="160"/>
      <c r="E188" s="161" t="s">
        <v>132</v>
      </c>
      <c r="F188" s="372" t="s">
        <v>131</v>
      </c>
      <c r="G188" s="372"/>
      <c r="H188" s="372"/>
      <c r="I188" s="372"/>
      <c r="J188" s="129" t="s">
        <v>76</v>
      </c>
      <c r="K188" s="100">
        <f>K187</f>
        <v>47</v>
      </c>
      <c r="L188" s="149"/>
      <c r="M188" s="101">
        <f>ROUND(L188*K188,2)</f>
        <v>0</v>
      </c>
      <c r="N188" s="79">
        <v>6.0999999999999997E-4</v>
      </c>
      <c r="O188" s="171">
        <f t="shared" si="43"/>
        <v>2.8669999999999998E-2</v>
      </c>
      <c r="P188" s="79"/>
      <c r="Q188" s="171">
        <f t="shared" si="44"/>
        <v>0</v>
      </c>
      <c r="R188" s="104"/>
    </row>
    <row r="189" spans="2:18" s="1" customFormat="1" x14ac:dyDescent="0.25">
      <c r="B189" s="20"/>
      <c r="C189" s="271">
        <v>33</v>
      </c>
      <c r="D189" s="271"/>
      <c r="E189" s="158" t="s">
        <v>186</v>
      </c>
      <c r="F189" s="362" t="s">
        <v>187</v>
      </c>
      <c r="G189" s="363"/>
      <c r="H189" s="363"/>
      <c r="I189" s="363"/>
      <c r="J189" s="127" t="s">
        <v>76</v>
      </c>
      <c r="K189" s="111">
        <f>K188</f>
        <v>47</v>
      </c>
      <c r="L189" s="150"/>
      <c r="M189" s="112">
        <f>ROUND(L189*K189,2)</f>
        <v>0</v>
      </c>
      <c r="N189" s="80">
        <v>0.15559000000000001</v>
      </c>
      <c r="O189" s="172">
        <f>N189*K189</f>
        <v>7.3127300000000002</v>
      </c>
      <c r="P189" s="80"/>
      <c r="Q189" s="172">
        <f>P189*K189</f>
        <v>0</v>
      </c>
      <c r="R189" s="104"/>
    </row>
    <row r="190" spans="2:18" s="1" customFormat="1" ht="13.5" customHeight="1" x14ac:dyDescent="0.25">
      <c r="B190" s="67"/>
      <c r="C190" s="128"/>
      <c r="D190" s="128"/>
      <c r="E190" s="282" t="s">
        <v>175</v>
      </c>
      <c r="F190" s="154"/>
      <c r="G190" s="154"/>
      <c r="H190" s="154"/>
      <c r="I190" s="154"/>
      <c r="J190" s="154"/>
      <c r="K190" s="240">
        <v>47</v>
      </c>
      <c r="L190" s="68"/>
      <c r="M190" s="69"/>
      <c r="N190" s="66"/>
      <c r="O190" s="70"/>
      <c r="P190" s="66"/>
      <c r="Q190" s="70"/>
      <c r="R190" s="21"/>
    </row>
    <row r="191" spans="2:18" s="1" customFormat="1" ht="13.5" customHeight="1" x14ac:dyDescent="0.25">
      <c r="B191" s="67"/>
      <c r="C191" s="128"/>
      <c r="D191" s="128"/>
      <c r="E191" s="155"/>
      <c r="F191" s="123"/>
      <c r="G191" s="124"/>
      <c r="H191" s="124"/>
      <c r="I191" s="124"/>
      <c r="J191" s="125"/>
      <c r="K191" s="207">
        <f>SUM(K190:K190)</f>
        <v>47</v>
      </c>
      <c r="L191" s="68"/>
      <c r="M191" s="69"/>
      <c r="N191" s="66"/>
      <c r="O191" s="70"/>
      <c r="P191" s="66"/>
      <c r="Q191" s="70"/>
      <c r="R191" s="21"/>
    </row>
    <row r="192" spans="2:18" s="1" customFormat="1" ht="13.5" customHeight="1" x14ac:dyDescent="0.25">
      <c r="B192" s="20"/>
      <c r="C192" s="270">
        <v>34</v>
      </c>
      <c r="D192" s="270"/>
      <c r="E192" s="157" t="s">
        <v>133</v>
      </c>
      <c r="F192" s="361" t="s">
        <v>134</v>
      </c>
      <c r="G192" s="361"/>
      <c r="H192" s="361"/>
      <c r="I192" s="361"/>
      <c r="J192" s="126" t="s">
        <v>76</v>
      </c>
      <c r="K192" s="81">
        <f>K195</f>
        <v>111</v>
      </c>
      <c r="L192" s="148"/>
      <c r="M192" s="110">
        <f>ROUND(L192*K192,2)</f>
        <v>0</v>
      </c>
      <c r="N192" s="78">
        <v>7.1000000000000002E-4</v>
      </c>
      <c r="O192" s="170">
        <f>N192*K192</f>
        <v>7.8810000000000005E-2</v>
      </c>
      <c r="P192" s="78"/>
      <c r="Q192" s="170">
        <f>P192*K192</f>
        <v>0</v>
      </c>
      <c r="R192" s="104"/>
    </row>
    <row r="193" spans="2:18" s="1" customFormat="1" ht="13.5" customHeight="1" x14ac:dyDescent="0.25">
      <c r="B193" s="20"/>
      <c r="C193" s="271">
        <v>35</v>
      </c>
      <c r="D193" s="271"/>
      <c r="E193" s="158" t="s">
        <v>144</v>
      </c>
      <c r="F193" s="362" t="s">
        <v>145</v>
      </c>
      <c r="G193" s="363"/>
      <c r="H193" s="363"/>
      <c r="I193" s="363"/>
      <c r="J193" s="127" t="s">
        <v>76</v>
      </c>
      <c r="K193" s="111">
        <f>K195</f>
        <v>111</v>
      </c>
      <c r="L193" s="150"/>
      <c r="M193" s="112">
        <f>ROUND(L193*K193,2)</f>
        <v>0</v>
      </c>
      <c r="N193" s="80">
        <v>0.10373</v>
      </c>
      <c r="O193" s="172">
        <f>N193*K193</f>
        <v>11.51403</v>
      </c>
      <c r="P193" s="80"/>
      <c r="Q193" s="172">
        <f>P193*K193</f>
        <v>0</v>
      </c>
      <c r="R193" s="104"/>
    </row>
    <row r="194" spans="2:18" s="1" customFormat="1" x14ac:dyDescent="0.25">
      <c r="B194" s="67"/>
      <c r="C194" s="128"/>
      <c r="D194" s="128"/>
      <c r="E194" s="282" t="s">
        <v>175</v>
      </c>
      <c r="F194" s="154"/>
      <c r="G194" s="154"/>
      <c r="H194" s="154"/>
      <c r="I194" s="154"/>
      <c r="J194" s="154"/>
      <c r="K194" s="240">
        <v>111</v>
      </c>
      <c r="L194" s="68"/>
      <c r="M194" s="69"/>
      <c r="N194" s="66"/>
      <c r="O194" s="70"/>
      <c r="P194" s="66"/>
      <c r="Q194" s="70"/>
      <c r="R194" s="21"/>
    </row>
    <row r="195" spans="2:18" s="1" customFormat="1" x14ac:dyDescent="0.25">
      <c r="B195" s="67"/>
      <c r="C195" s="128"/>
      <c r="D195" s="128"/>
      <c r="E195" s="155"/>
      <c r="F195" s="123"/>
      <c r="G195" s="124"/>
      <c r="H195" s="124"/>
      <c r="I195" s="124"/>
      <c r="J195" s="125"/>
      <c r="K195" s="207">
        <f>SUM(K194:K194)</f>
        <v>111</v>
      </c>
      <c r="L195" s="68"/>
      <c r="M195" s="69"/>
      <c r="N195" s="66"/>
      <c r="O195" s="70"/>
      <c r="P195" s="66"/>
      <c r="Q195" s="70"/>
      <c r="R195" s="21"/>
    </row>
    <row r="196" spans="2:18" s="1" customFormat="1" x14ac:dyDescent="0.25">
      <c r="B196" s="200"/>
      <c r="C196" s="128"/>
      <c r="D196" s="128"/>
      <c r="E196" s="288"/>
      <c r="F196" s="285"/>
      <c r="G196" s="200"/>
      <c r="H196" s="200"/>
      <c r="I196" s="200"/>
      <c r="J196" s="179"/>
      <c r="K196" s="239"/>
      <c r="L196" s="68"/>
      <c r="M196" s="69"/>
      <c r="N196" s="66"/>
      <c r="O196" s="70"/>
      <c r="P196" s="66"/>
      <c r="Q196" s="70"/>
    </row>
    <row r="197" spans="2:18" s="1" customFormat="1" ht="13.5" customHeight="1" x14ac:dyDescent="0.25">
      <c r="B197" s="20"/>
      <c r="C197" s="270">
        <v>36</v>
      </c>
      <c r="D197" s="270"/>
      <c r="E197" s="157" t="s">
        <v>112</v>
      </c>
      <c r="F197" s="361" t="s">
        <v>113</v>
      </c>
      <c r="G197" s="361"/>
      <c r="H197" s="361"/>
      <c r="I197" s="361"/>
      <c r="J197" s="126" t="s">
        <v>76</v>
      </c>
      <c r="K197" s="81">
        <f>K204</f>
        <v>41</v>
      </c>
      <c r="L197" s="148"/>
      <c r="M197" s="110">
        <f t="shared" ref="M197" si="45">ROUND(L197*K197,2)</f>
        <v>0</v>
      </c>
      <c r="N197" s="78">
        <v>0.34499999999999997</v>
      </c>
      <c r="O197" s="170">
        <f t="shared" ref="O197" si="46">N197*K197</f>
        <v>14.145</v>
      </c>
      <c r="P197" s="78"/>
      <c r="Q197" s="170">
        <f t="shared" ref="Q197" si="47">P197*K197</f>
        <v>0</v>
      </c>
      <c r="R197" s="104"/>
    </row>
    <row r="198" spans="2:18" s="1" customFormat="1" ht="13.5" customHeight="1" x14ac:dyDescent="0.25">
      <c r="B198" s="20"/>
      <c r="C198" s="160">
        <v>37</v>
      </c>
      <c r="D198" s="160"/>
      <c r="E198" s="161" t="s">
        <v>115</v>
      </c>
      <c r="F198" s="372" t="s">
        <v>114</v>
      </c>
      <c r="G198" s="372"/>
      <c r="H198" s="372"/>
      <c r="I198" s="372"/>
      <c r="J198" s="129" t="s">
        <v>76</v>
      </c>
      <c r="K198" s="100">
        <f>K197</f>
        <v>41</v>
      </c>
      <c r="L198" s="149"/>
      <c r="M198" s="101">
        <f t="shared" ref="M198" si="48">ROUND(L198*K198,2)</f>
        <v>0</v>
      </c>
      <c r="N198" s="79">
        <v>0.46</v>
      </c>
      <c r="O198" s="171">
        <f t="shared" ref="O198" si="49">N198*K198</f>
        <v>18.86</v>
      </c>
      <c r="P198" s="79"/>
      <c r="Q198" s="171">
        <f t="shared" ref="Q198" si="50">P198*K198</f>
        <v>0</v>
      </c>
      <c r="R198" s="104"/>
    </row>
    <row r="199" spans="2:18" s="1" customFormat="1" x14ac:dyDescent="0.25">
      <c r="B199" s="20"/>
      <c r="C199" s="160">
        <v>38</v>
      </c>
      <c r="D199" s="160"/>
      <c r="E199" s="161" t="s">
        <v>132</v>
      </c>
      <c r="F199" s="372" t="s">
        <v>131</v>
      </c>
      <c r="G199" s="372"/>
      <c r="H199" s="372"/>
      <c r="I199" s="372"/>
      <c r="J199" s="129" t="s">
        <v>76</v>
      </c>
      <c r="K199" s="100">
        <f>K204</f>
        <v>41</v>
      </c>
      <c r="L199" s="149"/>
      <c r="M199" s="101">
        <f>ROUND(L199*K199,2)</f>
        <v>0</v>
      </c>
      <c r="N199" s="79">
        <v>6.0999999999999997E-4</v>
      </c>
      <c r="O199" s="171">
        <f t="shared" ref="O199" si="51">N199*K199</f>
        <v>2.5009999999999998E-2</v>
      </c>
      <c r="P199" s="79"/>
      <c r="Q199" s="171">
        <f t="shared" ref="Q199" si="52">P199*K199</f>
        <v>0</v>
      </c>
      <c r="R199" s="104"/>
    </row>
    <row r="200" spans="2:18" s="1" customFormat="1" x14ac:dyDescent="0.25">
      <c r="B200" s="20"/>
      <c r="C200" s="160">
        <v>39</v>
      </c>
      <c r="D200" s="160"/>
      <c r="E200" s="161" t="s">
        <v>142</v>
      </c>
      <c r="F200" s="372" t="s">
        <v>143</v>
      </c>
      <c r="G200" s="373"/>
      <c r="H200" s="373"/>
      <c r="I200" s="373"/>
      <c r="J200" s="129" t="s">
        <v>76</v>
      </c>
      <c r="K200" s="100">
        <f>K204</f>
        <v>41</v>
      </c>
      <c r="L200" s="149"/>
      <c r="M200" s="101">
        <f>ROUND(L200*K200,2)</f>
        <v>0</v>
      </c>
      <c r="N200" s="79">
        <v>0.18151999999999999</v>
      </c>
      <c r="O200" s="171">
        <f>N200*K200</f>
        <v>7.4423199999999996</v>
      </c>
      <c r="P200" s="79"/>
      <c r="Q200" s="171">
        <f>P200*K200</f>
        <v>0</v>
      </c>
      <c r="R200" s="104"/>
    </row>
    <row r="201" spans="2:18" s="1" customFormat="1" ht="13.5" customHeight="1" x14ac:dyDescent="0.25">
      <c r="B201" s="20"/>
      <c r="C201" s="160">
        <v>40</v>
      </c>
      <c r="D201" s="160"/>
      <c r="E201" s="161" t="s">
        <v>133</v>
      </c>
      <c r="F201" s="372" t="s">
        <v>134</v>
      </c>
      <c r="G201" s="372"/>
      <c r="H201" s="372"/>
      <c r="I201" s="372"/>
      <c r="J201" s="129" t="s">
        <v>76</v>
      </c>
      <c r="K201" s="100">
        <f>K204</f>
        <v>41</v>
      </c>
      <c r="L201" s="149"/>
      <c r="M201" s="101">
        <f>ROUND(L201*K201,2)</f>
        <v>0</v>
      </c>
      <c r="N201" s="79">
        <v>7.1000000000000002E-4</v>
      </c>
      <c r="O201" s="171">
        <f>N201*K201</f>
        <v>2.911E-2</v>
      </c>
      <c r="P201" s="79"/>
      <c r="Q201" s="171">
        <f>P201*K201</f>
        <v>0</v>
      </c>
      <c r="R201" s="104"/>
    </row>
    <row r="202" spans="2:18" s="1" customFormat="1" ht="13.5" customHeight="1" x14ac:dyDescent="0.25">
      <c r="B202" s="20"/>
      <c r="C202" s="271">
        <v>41</v>
      </c>
      <c r="D202" s="271"/>
      <c r="E202" s="158" t="s">
        <v>144</v>
      </c>
      <c r="F202" s="362" t="s">
        <v>145</v>
      </c>
      <c r="G202" s="363"/>
      <c r="H202" s="363"/>
      <c r="I202" s="363"/>
      <c r="J202" s="127" t="s">
        <v>76</v>
      </c>
      <c r="K202" s="111">
        <f>K204</f>
        <v>41</v>
      </c>
      <c r="L202" s="150"/>
      <c r="M202" s="112">
        <f>ROUND(L202*K202,2)</f>
        <v>0</v>
      </c>
      <c r="N202" s="80">
        <v>0.10373</v>
      </c>
      <c r="O202" s="172">
        <f>N202*K202</f>
        <v>4.2529300000000001</v>
      </c>
      <c r="P202" s="80"/>
      <c r="Q202" s="172">
        <f>P202*K202</f>
        <v>0</v>
      </c>
      <c r="R202" s="104"/>
    </row>
    <row r="203" spans="2:18" s="1" customFormat="1" x14ac:dyDescent="0.25">
      <c r="B203" s="67"/>
      <c r="C203" s="128"/>
      <c r="D203" s="128"/>
      <c r="E203" s="282" t="s">
        <v>243</v>
      </c>
      <c r="F203" s="154"/>
      <c r="G203" s="154"/>
      <c r="H203" s="154"/>
      <c r="I203" s="154"/>
      <c r="J203" s="154"/>
      <c r="K203" s="240">
        <v>41</v>
      </c>
      <c r="L203" s="68"/>
      <c r="M203" s="69"/>
      <c r="N203" s="66"/>
      <c r="O203" s="70"/>
      <c r="P203" s="66"/>
      <c r="Q203" s="70"/>
      <c r="R203" s="21"/>
    </row>
    <row r="204" spans="2:18" s="1" customFormat="1" x14ac:dyDescent="0.25">
      <c r="B204" s="67"/>
      <c r="C204" s="128"/>
      <c r="D204" s="128"/>
      <c r="E204" s="155"/>
      <c r="F204" s="123"/>
      <c r="G204" s="124"/>
      <c r="H204" s="124"/>
      <c r="I204" s="124"/>
      <c r="J204" s="125"/>
      <c r="K204" s="207">
        <f>SUM(K203:K203)</f>
        <v>41</v>
      </c>
      <c r="L204" s="68"/>
      <c r="M204" s="69"/>
      <c r="N204" s="66"/>
      <c r="O204" s="70"/>
      <c r="P204" s="66"/>
      <c r="Q204" s="70"/>
      <c r="R204" s="21"/>
    </row>
    <row r="205" spans="2:18" s="1" customFormat="1" ht="13.5" customHeight="1" x14ac:dyDescent="0.25">
      <c r="B205" s="138"/>
      <c r="C205" s="270">
        <v>42</v>
      </c>
      <c r="D205" s="270"/>
      <c r="E205" s="157" t="s">
        <v>115</v>
      </c>
      <c r="F205" s="361" t="s">
        <v>114</v>
      </c>
      <c r="G205" s="361"/>
      <c r="H205" s="361"/>
      <c r="I205" s="361"/>
      <c r="J205" s="126" t="s">
        <v>76</v>
      </c>
      <c r="K205" s="81">
        <f>K211</f>
        <v>28.8</v>
      </c>
      <c r="L205" s="148"/>
      <c r="M205" s="110">
        <f t="shared" ref="M205:M206" si="53">ROUND(L205*K205,2)</f>
        <v>0</v>
      </c>
      <c r="N205" s="78">
        <v>0.46</v>
      </c>
      <c r="O205" s="197">
        <f t="shared" ref="O205:O206" si="54">N205*K205</f>
        <v>13.248000000000001</v>
      </c>
      <c r="P205" s="78"/>
      <c r="Q205" s="170">
        <f>P205*K205</f>
        <v>0</v>
      </c>
      <c r="R205" s="140"/>
    </row>
    <row r="206" spans="2:18" s="1" customFormat="1" ht="13.5" customHeight="1" x14ac:dyDescent="0.25">
      <c r="B206" s="138"/>
      <c r="C206" s="160">
        <v>43</v>
      </c>
      <c r="D206" s="160"/>
      <c r="E206" s="161" t="s">
        <v>188</v>
      </c>
      <c r="F206" s="372" t="s">
        <v>189</v>
      </c>
      <c r="G206" s="372"/>
      <c r="H206" s="372"/>
      <c r="I206" s="372"/>
      <c r="J206" s="129" t="s">
        <v>76</v>
      </c>
      <c r="K206" s="100">
        <f>K211</f>
        <v>28.8</v>
      </c>
      <c r="L206" s="149"/>
      <c r="M206" s="101">
        <f t="shared" si="53"/>
        <v>0</v>
      </c>
      <c r="N206" s="79">
        <v>0.38313999999999998</v>
      </c>
      <c r="O206" s="219">
        <f t="shared" si="54"/>
        <v>11.034431999999999</v>
      </c>
      <c r="P206" s="79"/>
      <c r="Q206" s="171">
        <f>P206*K206</f>
        <v>0</v>
      </c>
      <c r="R206" s="140"/>
    </row>
    <row r="207" spans="2:18" s="1" customFormat="1" x14ac:dyDescent="0.25">
      <c r="B207" s="138"/>
      <c r="C207" s="159">
        <v>44</v>
      </c>
      <c r="D207" s="159"/>
      <c r="E207" s="188" t="s">
        <v>162</v>
      </c>
      <c r="F207" s="374" t="s">
        <v>163</v>
      </c>
      <c r="G207" s="375"/>
      <c r="H207" s="375"/>
      <c r="I207" s="375"/>
      <c r="J207" s="142" t="s">
        <v>76</v>
      </c>
      <c r="K207" s="244">
        <f>K211</f>
        <v>28.8</v>
      </c>
      <c r="L207" s="145"/>
      <c r="M207" s="195">
        <f>ROUND(L207*K207,2)</f>
        <v>0</v>
      </c>
      <c r="N207" s="80">
        <v>9.2799999999999994E-2</v>
      </c>
      <c r="O207" s="198">
        <f>N207*K207</f>
        <v>2.6726399999999999</v>
      </c>
      <c r="P207" s="80"/>
      <c r="Q207" s="198">
        <f>P207*K207</f>
        <v>0</v>
      </c>
      <c r="R207" s="140"/>
    </row>
    <row r="208" spans="2:18" s="1" customFormat="1" x14ac:dyDescent="0.25">
      <c r="B208" s="138"/>
      <c r="C208" s="128"/>
      <c r="D208" s="128"/>
      <c r="E208" s="279" t="s">
        <v>244</v>
      </c>
      <c r="F208" s="280"/>
      <c r="G208" s="164"/>
      <c r="H208" s="164"/>
      <c r="I208" s="164"/>
      <c r="J208" s="164"/>
      <c r="K208" s="241">
        <v>16</v>
      </c>
      <c r="L208" s="68"/>
      <c r="M208" s="189"/>
      <c r="N208" s="173"/>
      <c r="O208" s="113"/>
      <c r="P208" s="173"/>
      <c r="Q208" s="113"/>
      <c r="R208" s="192"/>
    </row>
    <row r="209" spans="2:19" s="1" customFormat="1" x14ac:dyDescent="0.25">
      <c r="B209" s="138"/>
      <c r="C209" s="128"/>
      <c r="D209" s="128"/>
      <c r="E209" s="284" t="s">
        <v>233</v>
      </c>
      <c r="F209" s="283"/>
      <c r="G209" s="176"/>
      <c r="H209" s="176"/>
      <c r="I209" s="176"/>
      <c r="J209" s="176"/>
      <c r="K209" s="242">
        <v>8</v>
      </c>
      <c r="L209" s="68"/>
      <c r="M209" s="189"/>
      <c r="N209" s="173"/>
      <c r="O209" s="113"/>
      <c r="P209" s="173"/>
      <c r="Q209" s="113"/>
      <c r="R209" s="192"/>
    </row>
    <row r="210" spans="2:19" s="1" customFormat="1" x14ac:dyDescent="0.25">
      <c r="B210" s="138"/>
      <c r="C210" s="128"/>
      <c r="D210" s="128"/>
      <c r="E210" s="284" t="s">
        <v>164</v>
      </c>
      <c r="F210" s="283" t="s">
        <v>238</v>
      </c>
      <c r="G210" s="176"/>
      <c r="H210" s="176"/>
      <c r="I210" s="176"/>
      <c r="J210" s="176"/>
      <c r="K210" s="242">
        <f>12*0.4</f>
        <v>4.8000000000000007</v>
      </c>
      <c r="L210" s="68"/>
      <c r="M210" s="189"/>
      <c r="N210" s="173"/>
      <c r="O210" s="113"/>
      <c r="P210" s="173"/>
      <c r="Q210" s="113"/>
      <c r="R210" s="192"/>
    </row>
    <row r="211" spans="2:19" s="1" customFormat="1" x14ac:dyDescent="0.25">
      <c r="B211" s="138"/>
      <c r="C211" s="128"/>
      <c r="D211" s="128"/>
      <c r="E211" s="155"/>
      <c r="F211" s="123"/>
      <c r="G211" s="124"/>
      <c r="H211" s="124"/>
      <c r="I211" s="124"/>
      <c r="J211" s="125"/>
      <c r="K211" s="245">
        <f>SUM(K208:K210)</f>
        <v>28.8</v>
      </c>
      <c r="L211" s="68"/>
      <c r="M211" s="189"/>
      <c r="N211" s="173"/>
      <c r="O211" s="113"/>
      <c r="P211" s="173"/>
      <c r="Q211" s="113"/>
      <c r="R211" s="140"/>
    </row>
    <row r="212" spans="2:19" s="1" customFormat="1" x14ac:dyDescent="0.25">
      <c r="B212" s="138"/>
      <c r="C212" s="289">
        <v>45</v>
      </c>
      <c r="D212" s="289" t="s">
        <v>137</v>
      </c>
      <c r="E212" s="290" t="s">
        <v>120</v>
      </c>
      <c r="F212" s="376" t="s">
        <v>234</v>
      </c>
      <c r="G212" s="377"/>
      <c r="H212" s="377"/>
      <c r="I212" s="377"/>
      <c r="J212" s="193" t="s">
        <v>76</v>
      </c>
      <c r="K212" s="201">
        <f>K214</f>
        <v>16.8</v>
      </c>
      <c r="L212" s="194"/>
      <c r="M212" s="196">
        <f>ROUND(L212*K212,2)</f>
        <v>0</v>
      </c>
      <c r="N212" s="152">
        <v>0.17</v>
      </c>
      <c r="O212" s="199">
        <f>N212*K212</f>
        <v>2.8560000000000003</v>
      </c>
      <c r="P212" s="152"/>
      <c r="Q212" s="199">
        <f>P212*K212</f>
        <v>0</v>
      </c>
      <c r="R212" s="140"/>
    </row>
    <row r="213" spans="2:19" s="1" customFormat="1" x14ac:dyDescent="0.25">
      <c r="B213" s="138"/>
      <c r="C213" s="128"/>
      <c r="D213" s="128"/>
      <c r="E213" s="279"/>
      <c r="F213" s="280" t="s">
        <v>235</v>
      </c>
      <c r="G213" s="164"/>
      <c r="H213" s="164"/>
      <c r="I213" s="164"/>
      <c r="J213" s="164"/>
      <c r="K213" s="241">
        <f>16*1.05</f>
        <v>16.8</v>
      </c>
      <c r="L213" s="68"/>
      <c r="M213" s="189"/>
      <c r="N213" s="173"/>
      <c r="O213" s="113"/>
      <c r="P213" s="173"/>
      <c r="Q213" s="113"/>
      <c r="R213" s="192"/>
    </row>
    <row r="214" spans="2:19" s="1" customFormat="1" x14ac:dyDescent="0.25">
      <c r="B214" s="138"/>
      <c r="C214" s="128"/>
      <c r="D214" s="128"/>
      <c r="E214" s="155"/>
      <c r="F214" s="123"/>
      <c r="G214" s="124"/>
      <c r="H214" s="124"/>
      <c r="I214" s="124"/>
      <c r="J214" s="125"/>
      <c r="K214" s="207">
        <f>SUM(K213:K213)</f>
        <v>16.8</v>
      </c>
      <c r="L214" s="68"/>
      <c r="M214" s="189"/>
      <c r="N214" s="173"/>
      <c r="O214" s="113"/>
      <c r="P214" s="173"/>
      <c r="Q214" s="113"/>
      <c r="R214" s="192"/>
    </row>
    <row r="215" spans="2:19" s="1" customFormat="1" x14ac:dyDescent="0.25">
      <c r="B215" s="138"/>
      <c r="C215" s="289">
        <v>46</v>
      </c>
      <c r="D215" s="289" t="s">
        <v>137</v>
      </c>
      <c r="E215" s="291" t="s">
        <v>140</v>
      </c>
      <c r="F215" s="376" t="s">
        <v>166</v>
      </c>
      <c r="G215" s="377"/>
      <c r="H215" s="377"/>
      <c r="I215" s="377"/>
      <c r="J215" s="193" t="s">
        <v>76</v>
      </c>
      <c r="K215" s="201">
        <f>K217</f>
        <v>8.4</v>
      </c>
      <c r="L215" s="194"/>
      <c r="M215" s="196">
        <f>ROUND(L215*K215,2)</f>
        <v>0</v>
      </c>
      <c r="N215" s="152">
        <v>0.17199999999999999</v>
      </c>
      <c r="O215" s="199">
        <f>N215*K215</f>
        <v>1.4447999999999999</v>
      </c>
      <c r="P215" s="152"/>
      <c r="Q215" s="199">
        <f>P215*K215</f>
        <v>0</v>
      </c>
      <c r="R215" s="140"/>
      <c r="S215" s="231"/>
    </row>
    <row r="216" spans="2:19" s="1" customFormat="1" x14ac:dyDescent="0.25">
      <c r="B216" s="138"/>
      <c r="C216" s="128"/>
      <c r="D216" s="128"/>
      <c r="E216" s="279"/>
      <c r="F216" s="292" t="s">
        <v>236</v>
      </c>
      <c r="G216" s="154"/>
      <c r="H216" s="154"/>
      <c r="I216" s="154"/>
      <c r="J216" s="154"/>
      <c r="K216" s="240">
        <f>8*1.05</f>
        <v>8.4</v>
      </c>
      <c r="L216" s="68"/>
      <c r="M216" s="69"/>
      <c r="N216" s="66"/>
      <c r="O216" s="189"/>
      <c r="P216" s="66"/>
      <c r="Q216" s="189"/>
      <c r="R216" s="221"/>
      <c r="S216" s="258"/>
    </row>
    <row r="217" spans="2:19" s="1" customFormat="1" x14ac:dyDescent="0.25">
      <c r="B217" s="138"/>
      <c r="C217" s="128"/>
      <c r="D217" s="128"/>
      <c r="E217" s="155"/>
      <c r="F217" s="123"/>
      <c r="G217" s="124"/>
      <c r="H217" s="124"/>
      <c r="I217" s="124"/>
      <c r="J217" s="125"/>
      <c r="K217" s="207">
        <f>SUM(K216:K216)</f>
        <v>8.4</v>
      </c>
      <c r="L217" s="68"/>
      <c r="M217" s="69"/>
      <c r="N217" s="66"/>
      <c r="O217" s="189"/>
      <c r="P217" s="66"/>
      <c r="Q217" s="189"/>
      <c r="R217" s="221"/>
      <c r="S217" s="258"/>
    </row>
    <row r="218" spans="2:19" s="1" customFormat="1" x14ac:dyDescent="0.25">
      <c r="B218" s="138"/>
      <c r="C218" s="289">
        <v>47</v>
      </c>
      <c r="D218" s="289" t="s">
        <v>137</v>
      </c>
      <c r="E218" s="291" t="s">
        <v>165</v>
      </c>
      <c r="F218" s="376" t="s">
        <v>240</v>
      </c>
      <c r="G218" s="377"/>
      <c r="H218" s="377"/>
      <c r="I218" s="377"/>
      <c r="J218" s="193" t="s">
        <v>76</v>
      </c>
      <c r="K218" s="201">
        <f>K220</f>
        <v>5.0400000000000009</v>
      </c>
      <c r="L218" s="194"/>
      <c r="M218" s="196">
        <f>ROUND(L218*K218,2)</f>
        <v>0</v>
      </c>
      <c r="N218" s="152">
        <v>0.17199999999999999</v>
      </c>
      <c r="O218" s="199">
        <f>N218*K218</f>
        <v>0.86688000000000009</v>
      </c>
      <c r="P218" s="152"/>
      <c r="Q218" s="199">
        <f>P218*K218</f>
        <v>0</v>
      </c>
      <c r="R218" s="140"/>
      <c r="S218" s="231"/>
    </row>
    <row r="219" spans="2:19" s="1" customFormat="1" x14ac:dyDescent="0.25">
      <c r="B219" s="138"/>
      <c r="C219" s="128"/>
      <c r="D219" s="128"/>
      <c r="E219" s="284"/>
      <c r="F219" s="292" t="s">
        <v>239</v>
      </c>
      <c r="G219" s="154"/>
      <c r="H219" s="154"/>
      <c r="I219" s="154"/>
      <c r="J219" s="154"/>
      <c r="K219" s="240">
        <f>12*0.4*1.05</f>
        <v>5.0400000000000009</v>
      </c>
      <c r="L219" s="68"/>
      <c r="M219" s="69"/>
      <c r="N219" s="66"/>
      <c r="O219" s="189"/>
      <c r="P219" s="66"/>
      <c r="Q219" s="189"/>
      <c r="R219" s="221"/>
      <c r="S219" s="258"/>
    </row>
    <row r="220" spans="2:19" s="1" customFormat="1" x14ac:dyDescent="0.25">
      <c r="B220" s="138"/>
      <c r="C220" s="128"/>
      <c r="D220" s="128"/>
      <c r="E220" s="155"/>
      <c r="F220" s="123"/>
      <c r="G220" s="124"/>
      <c r="H220" s="124"/>
      <c r="I220" s="124"/>
      <c r="J220" s="125"/>
      <c r="K220" s="207">
        <f>SUM(K219:K219)</f>
        <v>5.0400000000000009</v>
      </c>
      <c r="L220" s="68"/>
      <c r="M220" s="69"/>
      <c r="N220" s="66"/>
      <c r="O220" s="189"/>
      <c r="P220" s="66"/>
      <c r="Q220" s="189"/>
      <c r="R220" s="221"/>
      <c r="S220" s="258"/>
    </row>
    <row r="221" spans="2:19" s="1" customFormat="1" ht="13.5" customHeight="1" x14ac:dyDescent="0.25">
      <c r="B221" s="138"/>
      <c r="C221" s="270">
        <v>48</v>
      </c>
      <c r="D221" s="270"/>
      <c r="E221" s="157" t="s">
        <v>115</v>
      </c>
      <c r="F221" s="361" t="s">
        <v>114</v>
      </c>
      <c r="G221" s="361"/>
      <c r="H221" s="361"/>
      <c r="I221" s="361"/>
      <c r="J221" s="126" t="s">
        <v>76</v>
      </c>
      <c r="K221" s="81">
        <f>K225+2*95*0.15</f>
        <v>153.5</v>
      </c>
      <c r="L221" s="148"/>
      <c r="M221" s="110">
        <f t="shared" ref="M221" si="55">ROUND(L221*K221,2)</f>
        <v>0</v>
      </c>
      <c r="N221" s="78">
        <v>0.46</v>
      </c>
      <c r="O221" s="197">
        <f t="shared" ref="O221" si="56">N221*K221</f>
        <v>70.61</v>
      </c>
      <c r="P221" s="78"/>
      <c r="Q221" s="170">
        <f>P221*K221</f>
        <v>0</v>
      </c>
      <c r="R221" s="140"/>
    </row>
    <row r="222" spans="2:19" s="1" customFormat="1" x14ac:dyDescent="0.25">
      <c r="B222" s="138"/>
      <c r="C222" s="159">
        <v>49</v>
      </c>
      <c r="D222" s="159"/>
      <c r="E222" s="188" t="s">
        <v>135</v>
      </c>
      <c r="F222" s="374" t="s">
        <v>136</v>
      </c>
      <c r="G222" s="375"/>
      <c r="H222" s="375"/>
      <c r="I222" s="375"/>
      <c r="J222" s="142" t="s">
        <v>76</v>
      </c>
      <c r="K222" s="244">
        <f>K225</f>
        <v>125</v>
      </c>
      <c r="L222" s="145"/>
      <c r="M222" s="195">
        <f>ROUND(L222*K222,2)</f>
        <v>0</v>
      </c>
      <c r="N222" s="80">
        <v>7.3899999999999993E-2</v>
      </c>
      <c r="O222" s="198">
        <f>N222*K222</f>
        <v>9.2374999999999989</v>
      </c>
      <c r="P222" s="80"/>
      <c r="Q222" s="198">
        <f>P222*K222</f>
        <v>0</v>
      </c>
      <c r="R222" s="140"/>
    </row>
    <row r="223" spans="2:19" s="1" customFormat="1" x14ac:dyDescent="0.25">
      <c r="B223" s="138"/>
      <c r="C223" s="128"/>
      <c r="D223" s="128"/>
      <c r="E223" s="279" t="s">
        <v>209</v>
      </c>
      <c r="F223" s="280"/>
      <c r="G223" s="164"/>
      <c r="H223" s="164"/>
      <c r="I223" s="164"/>
      <c r="J223" s="164"/>
      <c r="K223" s="241">
        <v>118</v>
      </c>
      <c r="L223" s="68"/>
      <c r="M223" s="189"/>
      <c r="N223" s="173"/>
      <c r="O223" s="113"/>
      <c r="P223" s="173"/>
      <c r="Q223" s="113"/>
      <c r="R223" s="192"/>
    </row>
    <row r="224" spans="2:19" s="1" customFormat="1" x14ac:dyDescent="0.25">
      <c r="B224" s="138"/>
      <c r="C224" s="128"/>
      <c r="D224" s="128"/>
      <c r="E224" s="282" t="s">
        <v>232</v>
      </c>
      <c r="F224" s="292"/>
      <c r="G224" s="154"/>
      <c r="H224" s="154"/>
      <c r="I224" s="154"/>
      <c r="J224" s="154"/>
      <c r="K224" s="240">
        <v>7</v>
      </c>
      <c r="L224" s="68"/>
      <c r="M224" s="189"/>
      <c r="N224" s="173"/>
      <c r="O224" s="113"/>
      <c r="P224" s="173"/>
      <c r="Q224" s="113"/>
      <c r="R224" s="192"/>
    </row>
    <row r="225" spans="2:19" s="1" customFormat="1" x14ac:dyDescent="0.25">
      <c r="B225" s="138"/>
      <c r="C225" s="128"/>
      <c r="D225" s="128"/>
      <c r="E225" s="155"/>
      <c r="F225" s="123"/>
      <c r="G225" s="124"/>
      <c r="H225" s="124"/>
      <c r="I225" s="124"/>
      <c r="J225" s="125"/>
      <c r="K225" s="245">
        <f>SUM(K223:K224)</f>
        <v>125</v>
      </c>
      <c r="L225" s="68"/>
      <c r="M225" s="189"/>
      <c r="N225" s="173"/>
      <c r="O225" s="113"/>
      <c r="P225" s="173"/>
      <c r="Q225" s="113"/>
      <c r="R225" s="140"/>
    </row>
    <row r="226" spans="2:19" s="1" customFormat="1" x14ac:dyDescent="0.25">
      <c r="B226" s="138"/>
      <c r="C226" s="289">
        <v>50</v>
      </c>
      <c r="D226" s="289" t="s">
        <v>137</v>
      </c>
      <c r="E226" s="290" t="s">
        <v>138</v>
      </c>
      <c r="F226" s="376" t="s">
        <v>139</v>
      </c>
      <c r="G226" s="377"/>
      <c r="H226" s="377"/>
      <c r="I226" s="377"/>
      <c r="J226" s="193" t="s">
        <v>76</v>
      </c>
      <c r="K226" s="201">
        <f>K228</f>
        <v>123.9</v>
      </c>
      <c r="L226" s="194"/>
      <c r="M226" s="196">
        <f>ROUND(L226*K226,2)</f>
        <v>0</v>
      </c>
      <c r="N226" s="152">
        <v>0.126</v>
      </c>
      <c r="O226" s="199">
        <f>N226*K226</f>
        <v>15.611400000000001</v>
      </c>
      <c r="P226" s="152"/>
      <c r="Q226" s="199">
        <f>P226*K226</f>
        <v>0</v>
      </c>
      <c r="R226" s="140"/>
    </row>
    <row r="227" spans="2:19" s="1" customFormat="1" x14ac:dyDescent="0.25">
      <c r="B227" s="138"/>
      <c r="C227" s="128"/>
      <c r="D227" s="128"/>
      <c r="E227" s="282"/>
      <c r="F227" s="292" t="s">
        <v>237</v>
      </c>
      <c r="G227" s="154"/>
      <c r="H227" s="154"/>
      <c r="I227" s="154"/>
      <c r="J227" s="154"/>
      <c r="K227" s="240">
        <f>118*1.05</f>
        <v>123.9</v>
      </c>
      <c r="L227" s="68"/>
      <c r="M227" s="189"/>
      <c r="N227" s="173"/>
      <c r="O227" s="113"/>
      <c r="P227" s="173"/>
      <c r="Q227" s="113"/>
      <c r="R227" s="192"/>
    </row>
    <row r="228" spans="2:19" s="1" customFormat="1" x14ac:dyDescent="0.25">
      <c r="B228" s="138"/>
      <c r="C228" s="128"/>
      <c r="D228" s="128"/>
      <c r="E228" s="155"/>
      <c r="F228" s="123"/>
      <c r="G228" s="124"/>
      <c r="H228" s="124"/>
      <c r="I228" s="124"/>
      <c r="J228" s="125"/>
      <c r="K228" s="207">
        <f>SUM(K227:K227)</f>
        <v>123.9</v>
      </c>
      <c r="L228" s="68"/>
      <c r="M228" s="189"/>
      <c r="N228" s="173"/>
      <c r="O228" s="113"/>
      <c r="P228" s="173"/>
      <c r="Q228" s="113"/>
      <c r="R228" s="192"/>
    </row>
    <row r="229" spans="2:19" s="1" customFormat="1" x14ac:dyDescent="0.25">
      <c r="B229" s="138"/>
      <c r="C229" s="289">
        <v>51</v>
      </c>
      <c r="D229" s="289" t="s">
        <v>137</v>
      </c>
      <c r="E229" s="291" t="s">
        <v>140</v>
      </c>
      <c r="F229" s="376" t="s">
        <v>141</v>
      </c>
      <c r="G229" s="377"/>
      <c r="H229" s="377"/>
      <c r="I229" s="377"/>
      <c r="J229" s="193" t="s">
        <v>76</v>
      </c>
      <c r="K229" s="201">
        <f>K231</f>
        <v>7.3500000000000005</v>
      </c>
      <c r="L229" s="194"/>
      <c r="M229" s="196">
        <f>ROUND(L229*K229,2)</f>
        <v>0</v>
      </c>
      <c r="N229" s="152">
        <v>0.128</v>
      </c>
      <c r="O229" s="199">
        <f>N229*K229</f>
        <v>0.94080000000000008</v>
      </c>
      <c r="P229" s="152"/>
      <c r="Q229" s="199">
        <f>P229*K229</f>
        <v>0</v>
      </c>
      <c r="R229" s="140"/>
    </row>
    <row r="230" spans="2:19" s="1" customFormat="1" x14ac:dyDescent="0.25">
      <c r="B230" s="138"/>
      <c r="C230" s="128"/>
      <c r="D230" s="128"/>
      <c r="E230" s="282"/>
      <c r="F230" s="292" t="s">
        <v>254</v>
      </c>
      <c r="G230" s="154"/>
      <c r="H230" s="154"/>
      <c r="I230" s="154"/>
      <c r="J230" s="154"/>
      <c r="K230" s="240">
        <f>7*1.05</f>
        <v>7.3500000000000005</v>
      </c>
      <c r="L230" s="68"/>
      <c r="M230" s="69"/>
      <c r="N230" s="66"/>
      <c r="O230" s="189"/>
      <c r="P230" s="66"/>
      <c r="Q230" s="189"/>
      <c r="R230" s="221"/>
      <c r="S230" s="113"/>
    </row>
    <row r="231" spans="2:19" s="1" customFormat="1" x14ac:dyDescent="0.25">
      <c r="B231" s="138"/>
      <c r="C231" s="128"/>
      <c r="D231" s="128"/>
      <c r="E231" s="155"/>
      <c r="F231" s="123"/>
      <c r="G231" s="124"/>
      <c r="H231" s="124"/>
      <c r="I231" s="124"/>
      <c r="J231" s="125"/>
      <c r="K231" s="207">
        <f>SUM(K230:K230)</f>
        <v>7.3500000000000005</v>
      </c>
      <c r="L231" s="68"/>
      <c r="M231" s="69"/>
      <c r="N231" s="66"/>
      <c r="O231" s="189"/>
      <c r="P231" s="66"/>
      <c r="Q231" s="189"/>
      <c r="R231" s="221"/>
      <c r="S231" s="113"/>
    </row>
    <row r="232" spans="2:19" s="97" customFormat="1" ht="15" x14ac:dyDescent="0.3">
      <c r="B232" s="96"/>
      <c r="D232" s="82" t="s">
        <v>66</v>
      </c>
      <c r="E232" s="82"/>
      <c r="F232" s="82"/>
      <c r="G232" s="82"/>
      <c r="H232" s="82"/>
      <c r="I232" s="82"/>
      <c r="J232" s="82"/>
      <c r="K232" s="135"/>
      <c r="L232" s="82"/>
      <c r="M232" s="108">
        <f>SUM(M233:M259)</f>
        <v>0</v>
      </c>
      <c r="N232" s="249"/>
      <c r="O232" s="98">
        <f>SUM(O233:O259)</f>
        <v>72.997550000000004</v>
      </c>
      <c r="P232" s="249"/>
      <c r="Q232" s="98">
        <f>SUM(Q233:Q259)</f>
        <v>0</v>
      </c>
      <c r="R232" s="103"/>
    </row>
    <row r="233" spans="2:19" s="1" customFormat="1" x14ac:dyDescent="0.25">
      <c r="B233" s="138"/>
      <c r="C233" s="293">
        <v>52</v>
      </c>
      <c r="D233" s="293" t="s">
        <v>75</v>
      </c>
      <c r="E233" s="294" t="s">
        <v>230</v>
      </c>
      <c r="F233" s="378" t="s">
        <v>231</v>
      </c>
      <c r="G233" s="378"/>
      <c r="H233" s="378"/>
      <c r="I233" s="378"/>
      <c r="J233" s="227" t="s">
        <v>77</v>
      </c>
      <c r="K233" s="247">
        <v>91</v>
      </c>
      <c r="L233" s="228"/>
      <c r="M233" s="229">
        <f t="shared" ref="M233:M234" si="57">ROUND(L233*K233,2)</f>
        <v>0</v>
      </c>
      <c r="N233" s="230">
        <v>2.5000000000000001E-4</v>
      </c>
      <c r="O233" s="235">
        <f t="shared" ref="O233:O234" si="58">N233*K233</f>
        <v>2.2749999999999999E-2</v>
      </c>
      <c r="P233" s="230"/>
      <c r="Q233" s="235">
        <f t="shared" ref="Q233:Q234" si="59">P233*K233</f>
        <v>0</v>
      </c>
      <c r="R233" s="140"/>
      <c r="S233" s="66"/>
    </row>
    <row r="234" spans="2:19" s="1" customFormat="1" ht="42.75" customHeight="1" x14ac:dyDescent="0.25">
      <c r="B234" s="138"/>
      <c r="C234" s="295">
        <v>53</v>
      </c>
      <c r="D234" s="295" t="s">
        <v>75</v>
      </c>
      <c r="E234" s="296" t="s">
        <v>109</v>
      </c>
      <c r="F234" s="379" t="s">
        <v>229</v>
      </c>
      <c r="G234" s="379"/>
      <c r="H234" s="379"/>
      <c r="I234" s="379"/>
      <c r="J234" s="223" t="s">
        <v>98</v>
      </c>
      <c r="K234" s="248">
        <v>2</v>
      </c>
      <c r="L234" s="225"/>
      <c r="M234" s="226">
        <f t="shared" si="57"/>
        <v>0</v>
      </c>
      <c r="N234" s="224">
        <v>0.1133</v>
      </c>
      <c r="O234" s="236">
        <f t="shared" si="58"/>
        <v>0.2266</v>
      </c>
      <c r="P234" s="224"/>
      <c r="Q234" s="236">
        <f t="shared" si="59"/>
        <v>0</v>
      </c>
      <c r="R234" s="140"/>
      <c r="S234" s="66"/>
    </row>
    <row r="235" spans="2:19" s="1" customFormat="1" x14ac:dyDescent="0.25">
      <c r="B235" s="231"/>
      <c r="C235" s="238">
        <v>54</v>
      </c>
      <c r="D235" s="238"/>
      <c r="E235" s="281" t="s">
        <v>110</v>
      </c>
      <c r="F235" s="366" t="s">
        <v>111</v>
      </c>
      <c r="G235" s="367"/>
      <c r="H235" s="367"/>
      <c r="I235" s="367"/>
      <c r="J235" s="122" t="s">
        <v>77</v>
      </c>
      <c r="K235" s="243">
        <f>K240</f>
        <v>204.5</v>
      </c>
      <c r="L235" s="147"/>
      <c r="M235" s="109">
        <f t="shared" ref="M235" si="60">ROUND(L235*K235,2)</f>
        <v>0</v>
      </c>
      <c r="N235" s="77">
        <v>0.188</v>
      </c>
      <c r="O235" s="156">
        <f t="shared" ref="O235" si="61">N235*K235</f>
        <v>38.445999999999998</v>
      </c>
      <c r="P235" s="77"/>
      <c r="Q235" s="156">
        <f t="shared" ref="Q235" si="62">P235*K235</f>
        <v>0</v>
      </c>
      <c r="R235" s="203"/>
    </row>
    <row r="236" spans="2:19" s="1" customFormat="1" x14ac:dyDescent="0.25">
      <c r="B236" s="138"/>
      <c r="C236" s="128"/>
      <c r="D236" s="128"/>
      <c r="E236" s="284" t="s">
        <v>170</v>
      </c>
      <c r="F236" s="283" t="s">
        <v>226</v>
      </c>
      <c r="G236" s="176"/>
      <c r="H236" s="176"/>
      <c r="I236" s="176"/>
      <c r="J236" s="176"/>
      <c r="K236" s="242">
        <f>9.5+30+20+9</f>
        <v>68.5</v>
      </c>
      <c r="L236" s="68"/>
      <c r="M236" s="69"/>
      <c r="N236" s="66"/>
      <c r="O236" s="70"/>
      <c r="P236" s="66"/>
      <c r="Q236" s="70"/>
      <c r="R236" s="140"/>
    </row>
    <row r="237" spans="2:19" s="1" customFormat="1" x14ac:dyDescent="0.25">
      <c r="B237" s="138"/>
      <c r="C237" s="128"/>
      <c r="D237" s="128"/>
      <c r="E237" s="284" t="s">
        <v>171</v>
      </c>
      <c r="F237" s="283" t="s">
        <v>224</v>
      </c>
      <c r="G237" s="176"/>
      <c r="H237" s="176"/>
      <c r="I237" s="176"/>
      <c r="J237" s="176"/>
      <c r="K237" s="242">
        <f>4.5+3+6*2+10*2+3*2</f>
        <v>45.5</v>
      </c>
      <c r="L237" s="68"/>
      <c r="M237" s="69"/>
      <c r="N237" s="66"/>
      <c r="O237" s="70"/>
      <c r="P237" s="66"/>
      <c r="Q237" s="70"/>
      <c r="R237" s="140"/>
    </row>
    <row r="238" spans="2:19" s="1" customFormat="1" x14ac:dyDescent="0.25">
      <c r="B238" s="67"/>
      <c r="C238" s="128"/>
      <c r="D238" s="128"/>
      <c r="E238" s="284" t="s">
        <v>172</v>
      </c>
      <c r="F238" s="283" t="s">
        <v>223</v>
      </c>
      <c r="G238" s="176"/>
      <c r="H238" s="176"/>
      <c r="I238" s="176"/>
      <c r="J238" s="176"/>
      <c r="K238" s="242">
        <v>13</v>
      </c>
      <c r="L238" s="68"/>
      <c r="M238" s="69"/>
      <c r="N238" s="66"/>
      <c r="O238" s="70"/>
      <c r="P238" s="66"/>
      <c r="Q238" s="70"/>
      <c r="R238" s="21"/>
    </row>
    <row r="239" spans="2:19" s="1" customFormat="1" x14ac:dyDescent="0.25">
      <c r="B239" s="67"/>
      <c r="C239" s="128"/>
      <c r="D239" s="128"/>
      <c r="E239" s="282" t="s">
        <v>173</v>
      </c>
      <c r="F239" s="292" t="s">
        <v>222</v>
      </c>
      <c r="G239" s="154"/>
      <c r="H239" s="154"/>
      <c r="I239" s="154"/>
      <c r="J239" s="154"/>
      <c r="K239" s="240">
        <f>16.5+32.5+28.5</f>
        <v>77.5</v>
      </c>
      <c r="L239" s="68"/>
      <c r="M239" s="69"/>
      <c r="N239" s="66"/>
      <c r="O239" s="70"/>
      <c r="P239" s="66"/>
      <c r="Q239" s="70"/>
      <c r="R239" s="21"/>
    </row>
    <row r="240" spans="2:19" s="1" customFormat="1" x14ac:dyDescent="0.25">
      <c r="B240" s="67"/>
      <c r="C240" s="128"/>
      <c r="D240" s="128"/>
      <c r="E240" s="155"/>
      <c r="F240" s="123"/>
      <c r="G240" s="124"/>
      <c r="H240" s="124"/>
      <c r="I240" s="124"/>
      <c r="J240" s="125"/>
      <c r="K240" s="207">
        <f>SUM(K236:K239)</f>
        <v>204.5</v>
      </c>
      <c r="L240" s="68"/>
      <c r="M240" s="69"/>
      <c r="N240" s="66"/>
      <c r="O240" s="70"/>
      <c r="P240" s="66"/>
      <c r="Q240" s="70"/>
      <c r="R240" s="21"/>
    </row>
    <row r="241" spans="2:18 16372:16372" s="1" customFormat="1" ht="13.5" customHeight="1" x14ac:dyDescent="0.25">
      <c r="B241" s="20"/>
      <c r="C241" s="297">
        <v>55</v>
      </c>
      <c r="D241" s="297" t="s">
        <v>137</v>
      </c>
      <c r="E241" s="298"/>
      <c r="F241" s="376" t="s">
        <v>174</v>
      </c>
      <c r="G241" s="376"/>
      <c r="H241" s="376"/>
      <c r="I241" s="376"/>
      <c r="J241" s="151" t="s">
        <v>98</v>
      </c>
      <c r="K241" s="246">
        <f>K243</f>
        <v>79</v>
      </c>
      <c r="L241" s="202"/>
      <c r="M241" s="153">
        <f t="shared" ref="M241" si="63">ROUND(L241*K241,2)</f>
        <v>0</v>
      </c>
      <c r="N241" s="152">
        <v>5.5E-2</v>
      </c>
      <c r="O241" s="180">
        <f t="shared" ref="O241" si="64">N241*K241</f>
        <v>4.3449999999999998</v>
      </c>
      <c r="P241" s="152"/>
      <c r="Q241" s="180">
        <f t="shared" ref="Q241" si="65">P241*K241</f>
        <v>0</v>
      </c>
      <c r="R241" s="104"/>
    </row>
    <row r="242" spans="2:18 16372:16372" s="1" customFormat="1" x14ac:dyDescent="0.25">
      <c r="B242" s="67"/>
      <c r="C242" s="128"/>
      <c r="D242" s="128"/>
      <c r="E242" s="282" t="s">
        <v>173</v>
      </c>
      <c r="F242" s="292"/>
      <c r="G242" s="154"/>
      <c r="H242" s="154"/>
      <c r="I242" s="154"/>
      <c r="J242" s="154"/>
      <c r="K242" s="240">
        <v>79</v>
      </c>
      <c r="L242" s="68"/>
      <c r="M242" s="69"/>
      <c r="N242" s="66"/>
      <c r="O242" s="70"/>
      <c r="P242" s="66"/>
      <c r="Q242" s="70"/>
      <c r="R242" s="21"/>
    </row>
    <row r="243" spans="2:18 16372:16372" s="1" customFormat="1" x14ac:dyDescent="0.25">
      <c r="B243" s="67"/>
      <c r="C243" s="128"/>
      <c r="D243" s="128"/>
      <c r="E243" s="155"/>
      <c r="F243" s="123"/>
      <c r="G243" s="124"/>
      <c r="H243" s="124"/>
      <c r="I243" s="124"/>
      <c r="J243" s="125"/>
      <c r="K243" s="207">
        <f>SUM(K242:K242)</f>
        <v>79</v>
      </c>
      <c r="L243" s="68"/>
      <c r="M243" s="69"/>
      <c r="N243" s="66"/>
      <c r="O243" s="70"/>
      <c r="P243" s="66"/>
      <c r="Q243" s="70"/>
      <c r="R243" s="21"/>
    </row>
    <row r="244" spans="2:18 16372:16372" s="1" customFormat="1" ht="13.5" customHeight="1" x14ac:dyDescent="0.25">
      <c r="B244" s="20"/>
      <c r="C244" s="297">
        <v>56</v>
      </c>
      <c r="D244" s="297" t="s">
        <v>137</v>
      </c>
      <c r="E244" s="298"/>
      <c r="F244" s="376" t="s">
        <v>148</v>
      </c>
      <c r="G244" s="376"/>
      <c r="H244" s="376"/>
      <c r="I244" s="376"/>
      <c r="J244" s="151" t="s">
        <v>98</v>
      </c>
      <c r="K244" s="246">
        <f>K246</f>
        <v>70</v>
      </c>
      <c r="L244" s="202"/>
      <c r="M244" s="153">
        <f t="shared" ref="M244" si="66">ROUND(L244*K244,2)</f>
        <v>0</v>
      </c>
      <c r="N244" s="152">
        <v>0.08</v>
      </c>
      <c r="O244" s="180">
        <f t="shared" ref="O244" si="67">N244*K244</f>
        <v>5.6000000000000005</v>
      </c>
      <c r="P244" s="152"/>
      <c r="Q244" s="180">
        <f t="shared" ref="Q244" si="68">P244*K244</f>
        <v>0</v>
      </c>
      <c r="R244" s="104"/>
    </row>
    <row r="245" spans="2:18 16372:16372" s="1" customFormat="1" x14ac:dyDescent="0.25">
      <c r="B245" s="67"/>
      <c r="C245" s="128"/>
      <c r="D245" s="128"/>
      <c r="E245" s="284" t="s">
        <v>170</v>
      </c>
      <c r="F245" s="283"/>
      <c r="G245" s="176"/>
      <c r="H245" s="176"/>
      <c r="I245" s="176"/>
      <c r="J245" s="176"/>
      <c r="K245" s="242">
        <v>70</v>
      </c>
      <c r="L245" s="68"/>
      <c r="M245" s="69"/>
      <c r="N245" s="66"/>
      <c r="O245" s="70"/>
      <c r="P245" s="66"/>
      <c r="Q245" s="70"/>
      <c r="R245" s="21"/>
    </row>
    <row r="246" spans="2:18 16372:16372" s="1" customFormat="1" x14ac:dyDescent="0.25">
      <c r="B246" s="67"/>
      <c r="C246" s="128"/>
      <c r="D246" s="128"/>
      <c r="E246" s="155"/>
      <c r="F246" s="123"/>
      <c r="G246" s="124"/>
      <c r="H246" s="124"/>
      <c r="I246" s="124"/>
      <c r="J246" s="125"/>
      <c r="K246" s="207">
        <f>SUM(K245:K245)</f>
        <v>70</v>
      </c>
      <c r="L246" s="68"/>
      <c r="M246" s="69"/>
      <c r="N246" s="66"/>
      <c r="O246" s="70"/>
      <c r="P246" s="66"/>
      <c r="Q246" s="70"/>
      <c r="R246" s="21"/>
    </row>
    <row r="247" spans="2:18 16372:16372" s="1" customFormat="1" x14ac:dyDescent="0.25">
      <c r="B247" s="138"/>
      <c r="C247" s="289">
        <v>57</v>
      </c>
      <c r="D247" s="289" t="s">
        <v>137</v>
      </c>
      <c r="E247" s="299"/>
      <c r="F247" s="376" t="s">
        <v>146</v>
      </c>
      <c r="G247" s="376"/>
      <c r="H247" s="376"/>
      <c r="I247" s="376"/>
      <c r="J247" s="193" t="s">
        <v>78</v>
      </c>
      <c r="K247" s="201">
        <f>K249</f>
        <v>13</v>
      </c>
      <c r="L247" s="202"/>
      <c r="M247" s="196">
        <f>ROUND(L247*K247,2)</f>
        <v>0</v>
      </c>
      <c r="N247" s="152">
        <v>6.8000000000000005E-2</v>
      </c>
      <c r="O247" s="180">
        <f>N247*K247</f>
        <v>0.88400000000000012</v>
      </c>
      <c r="P247" s="152"/>
      <c r="Q247" s="180">
        <f>P247*K247</f>
        <v>0</v>
      </c>
      <c r="R247" s="140"/>
    </row>
    <row r="248" spans="2:18 16372:16372" s="1" customFormat="1" x14ac:dyDescent="0.25">
      <c r="B248" s="67"/>
      <c r="C248" s="128"/>
      <c r="D248" s="128"/>
      <c r="E248" s="284" t="s">
        <v>172</v>
      </c>
      <c r="F248" s="176"/>
      <c r="G248" s="176"/>
      <c r="H248" s="176"/>
      <c r="I248" s="176"/>
      <c r="J248" s="176"/>
      <c r="K248" s="242">
        <v>13</v>
      </c>
      <c r="L248" s="68"/>
      <c r="M248" s="69"/>
      <c r="N248" s="66"/>
      <c r="O248" s="70"/>
      <c r="P248" s="66"/>
      <c r="Q248" s="70"/>
      <c r="R248" s="21"/>
    </row>
    <row r="249" spans="2:18 16372:16372" s="1" customFormat="1" x14ac:dyDescent="0.25">
      <c r="B249" s="67"/>
      <c r="C249" s="128"/>
      <c r="D249" s="128"/>
      <c r="E249" s="155"/>
      <c r="F249" s="123"/>
      <c r="G249" s="124"/>
      <c r="H249" s="124"/>
      <c r="I249" s="124"/>
      <c r="J249" s="125"/>
      <c r="K249" s="207">
        <f>SUM(K248)</f>
        <v>13</v>
      </c>
      <c r="L249" s="68"/>
      <c r="M249" s="69"/>
      <c r="N249" s="66"/>
      <c r="O249" s="70"/>
      <c r="P249" s="66"/>
      <c r="Q249" s="70"/>
      <c r="R249" s="21"/>
      <c r="XER249" s="1">
        <f>SUM(A249:XEQ249)</f>
        <v>13</v>
      </c>
    </row>
    <row r="250" spans="2:18 16372:16372" s="1" customFormat="1" x14ac:dyDescent="0.25">
      <c r="B250" s="138"/>
      <c r="C250" s="289">
        <v>58</v>
      </c>
      <c r="D250" s="289" t="s">
        <v>137</v>
      </c>
      <c r="E250" s="299"/>
      <c r="F250" s="376" t="s">
        <v>147</v>
      </c>
      <c r="G250" s="376"/>
      <c r="H250" s="376"/>
      <c r="I250" s="376"/>
      <c r="J250" s="193" t="s">
        <v>78</v>
      </c>
      <c r="K250" s="201">
        <f>K252</f>
        <v>47</v>
      </c>
      <c r="L250" s="202"/>
      <c r="M250" s="196">
        <f>ROUND(L250*K250,2)</f>
        <v>0</v>
      </c>
      <c r="N250" s="152">
        <v>0.05</v>
      </c>
      <c r="O250" s="180">
        <f>N250*K250</f>
        <v>2.35</v>
      </c>
      <c r="P250" s="152"/>
      <c r="Q250" s="180">
        <f>P250*K250</f>
        <v>0</v>
      </c>
      <c r="R250" s="140"/>
    </row>
    <row r="251" spans="2:18 16372:16372" s="1" customFormat="1" x14ac:dyDescent="0.25">
      <c r="B251" s="67"/>
      <c r="C251" s="128"/>
      <c r="D251" s="128"/>
      <c r="E251" s="284" t="s">
        <v>171</v>
      </c>
      <c r="F251" s="283"/>
      <c r="G251" s="176"/>
      <c r="H251" s="176"/>
      <c r="I251" s="176"/>
      <c r="J251" s="176"/>
      <c r="K251" s="242">
        <v>47</v>
      </c>
      <c r="L251" s="68"/>
      <c r="M251" s="69"/>
      <c r="N251" s="66"/>
      <c r="O251" s="70"/>
      <c r="P251" s="66"/>
      <c r="Q251" s="70"/>
      <c r="R251" s="21"/>
    </row>
    <row r="252" spans="2:18 16372:16372" s="1" customFormat="1" x14ac:dyDescent="0.25">
      <c r="B252" s="67"/>
      <c r="C252" s="128"/>
      <c r="D252" s="128"/>
      <c r="E252" s="155"/>
      <c r="F252" s="123"/>
      <c r="G252" s="124"/>
      <c r="H252" s="124"/>
      <c r="I252" s="124"/>
      <c r="J252" s="125"/>
      <c r="K252" s="207">
        <f>SUM(K251:K251)</f>
        <v>47</v>
      </c>
      <c r="L252" s="68"/>
      <c r="M252" s="69"/>
      <c r="N252" s="66"/>
      <c r="O252" s="70"/>
      <c r="P252" s="66"/>
      <c r="Q252" s="70"/>
      <c r="R252" s="21"/>
    </row>
    <row r="253" spans="2:18 16372:16372" s="1" customFormat="1" ht="29.25" customHeight="1" x14ac:dyDescent="0.25">
      <c r="B253" s="231"/>
      <c r="C253" s="270">
        <v>59</v>
      </c>
      <c r="D253" s="270"/>
      <c r="E253" s="157" t="s">
        <v>110</v>
      </c>
      <c r="F253" s="361" t="s">
        <v>246</v>
      </c>
      <c r="G253" s="371"/>
      <c r="H253" s="371"/>
      <c r="I253" s="371"/>
      <c r="J253" s="126" t="s">
        <v>77</v>
      </c>
      <c r="K253" s="81">
        <f>K256</f>
        <v>91</v>
      </c>
      <c r="L253" s="148"/>
      <c r="M253" s="110">
        <f t="shared" ref="M253" si="69">ROUND(L253*K253,2)</f>
        <v>0</v>
      </c>
      <c r="N253" s="78">
        <v>0.188</v>
      </c>
      <c r="O253" s="170">
        <f t="shared" ref="O253" si="70">N253*K253</f>
        <v>17.108000000000001</v>
      </c>
      <c r="P253" s="78"/>
      <c r="Q253" s="170">
        <f t="shared" ref="Q253" si="71">P253*K253</f>
        <v>0</v>
      </c>
      <c r="R253" s="203"/>
    </row>
    <row r="254" spans="2:18 16372:16372" s="1" customFormat="1" x14ac:dyDescent="0.25">
      <c r="B254" s="138"/>
      <c r="C254" s="300">
        <v>60</v>
      </c>
      <c r="D254" s="300" t="s">
        <v>137</v>
      </c>
      <c r="E254" s="301"/>
      <c r="F254" s="384" t="s">
        <v>228</v>
      </c>
      <c r="G254" s="384"/>
      <c r="H254" s="384"/>
      <c r="I254" s="384"/>
      <c r="J254" s="232" t="s">
        <v>98</v>
      </c>
      <c r="K254" s="233">
        <f>K256*2</f>
        <v>182</v>
      </c>
      <c r="L254" s="222"/>
      <c r="M254" s="234">
        <f>ROUND(L254*K254,2)</f>
        <v>0</v>
      </c>
      <c r="N254" s="181">
        <v>2.1999999999999999E-2</v>
      </c>
      <c r="O254" s="182">
        <f>N254*K254</f>
        <v>4.0039999999999996</v>
      </c>
      <c r="P254" s="181"/>
      <c r="Q254" s="182">
        <f>P254*K254</f>
        <v>0</v>
      </c>
      <c r="R254" s="140"/>
    </row>
    <row r="255" spans="2:18 16372:16372" s="1" customFormat="1" x14ac:dyDescent="0.25">
      <c r="B255" s="67"/>
      <c r="C255" s="128"/>
      <c r="D255" s="128"/>
      <c r="E255" s="282" t="s">
        <v>227</v>
      </c>
      <c r="F255" s="154"/>
      <c r="G255" s="154"/>
      <c r="H255" s="154"/>
      <c r="I255" s="154"/>
      <c r="J255" s="154"/>
      <c r="K255" s="240">
        <v>91</v>
      </c>
      <c r="L255" s="68"/>
      <c r="M255" s="69"/>
      <c r="N255" s="66"/>
      <c r="O255" s="70"/>
      <c r="P255" s="66"/>
      <c r="Q255" s="70"/>
      <c r="R255" s="21"/>
    </row>
    <row r="256" spans="2:18 16372:16372" s="1" customFormat="1" x14ac:dyDescent="0.25">
      <c r="B256" s="67"/>
      <c r="C256" s="128"/>
      <c r="D256" s="128"/>
      <c r="E256" s="155"/>
      <c r="F256" s="123"/>
      <c r="G256" s="124"/>
      <c r="H256" s="124"/>
      <c r="I256" s="124"/>
      <c r="J256" s="125"/>
      <c r="K256" s="207">
        <f>SUM(K255:K255)</f>
        <v>91</v>
      </c>
      <c r="L256" s="68"/>
      <c r="M256" s="69"/>
      <c r="N256" s="66"/>
      <c r="O256" s="70"/>
      <c r="P256" s="66"/>
      <c r="Q256" s="70"/>
      <c r="R256" s="21"/>
    </row>
    <row r="257" spans="2:31" s="1" customFormat="1" x14ac:dyDescent="0.25">
      <c r="B257" s="138"/>
      <c r="C257" s="162">
        <v>61</v>
      </c>
      <c r="D257" s="162"/>
      <c r="E257" s="186" t="s">
        <v>149</v>
      </c>
      <c r="F257" s="382" t="s">
        <v>150</v>
      </c>
      <c r="G257" s="382"/>
      <c r="H257" s="382"/>
      <c r="I257" s="382"/>
      <c r="J257" s="139" t="s">
        <v>77</v>
      </c>
      <c r="K257" s="204">
        <f>K262</f>
        <v>112</v>
      </c>
      <c r="L257" s="143"/>
      <c r="M257" s="208">
        <f>ROUND(L257*K257,2)</f>
        <v>0</v>
      </c>
      <c r="N257" s="78"/>
      <c r="O257" s="170">
        <f>N257*K257</f>
        <v>0</v>
      </c>
      <c r="P257" s="78"/>
      <c r="Q257" s="170">
        <f>P257*K257</f>
        <v>0</v>
      </c>
      <c r="R257" s="192"/>
    </row>
    <row r="258" spans="2:31" s="1" customFormat="1" x14ac:dyDescent="0.25">
      <c r="B258" s="138"/>
      <c r="C258" s="163">
        <v>62</v>
      </c>
      <c r="D258" s="163"/>
      <c r="E258" s="187" t="s">
        <v>151</v>
      </c>
      <c r="F258" s="383" t="s">
        <v>152</v>
      </c>
      <c r="G258" s="383"/>
      <c r="H258" s="383"/>
      <c r="I258" s="383"/>
      <c r="J258" s="141" t="s">
        <v>77</v>
      </c>
      <c r="K258" s="190">
        <f>K262</f>
        <v>112</v>
      </c>
      <c r="L258" s="144"/>
      <c r="M258" s="209">
        <f>ROUND(L258*K258,2)</f>
        <v>0</v>
      </c>
      <c r="N258" s="79">
        <v>1E-4</v>
      </c>
      <c r="O258" s="171">
        <f>N258*K258</f>
        <v>1.12E-2</v>
      </c>
      <c r="P258" s="79"/>
      <c r="Q258" s="171">
        <f>P258*K258</f>
        <v>0</v>
      </c>
      <c r="R258" s="140"/>
    </row>
    <row r="259" spans="2:31" s="1" customFormat="1" x14ac:dyDescent="0.25">
      <c r="B259" s="138"/>
      <c r="C259" s="159">
        <v>63</v>
      </c>
      <c r="D259" s="159"/>
      <c r="E259" s="188" t="s">
        <v>153</v>
      </c>
      <c r="F259" s="374" t="s">
        <v>154</v>
      </c>
      <c r="G259" s="374"/>
      <c r="H259" s="374"/>
      <c r="I259" s="374"/>
      <c r="J259" s="142" t="s">
        <v>77</v>
      </c>
      <c r="K259" s="205">
        <f>K262</f>
        <v>112</v>
      </c>
      <c r="L259" s="145"/>
      <c r="M259" s="195">
        <f>ROUND(L259*K259,2)</f>
        <v>0</v>
      </c>
      <c r="N259" s="80"/>
      <c r="O259" s="172">
        <f>N259*K259</f>
        <v>0</v>
      </c>
      <c r="P259" s="80"/>
      <c r="Q259" s="172">
        <f>P259*K259</f>
        <v>0</v>
      </c>
      <c r="R259" s="140"/>
    </row>
    <row r="260" spans="2:31" s="1" customFormat="1" x14ac:dyDescent="0.25">
      <c r="B260" s="138"/>
      <c r="C260" s="128"/>
      <c r="D260" s="128"/>
      <c r="E260" s="302" t="s">
        <v>205</v>
      </c>
      <c r="F260" s="303"/>
      <c r="G260" s="191"/>
      <c r="H260" s="191"/>
      <c r="I260" s="191"/>
      <c r="J260" s="191"/>
      <c r="K260" s="206">
        <v>105</v>
      </c>
      <c r="L260" s="68"/>
      <c r="M260" s="69"/>
      <c r="N260" s="66"/>
      <c r="O260" s="189"/>
      <c r="P260" s="66"/>
      <c r="Q260" s="189"/>
      <c r="R260" s="140"/>
    </row>
    <row r="261" spans="2:31" s="1" customFormat="1" x14ac:dyDescent="0.25">
      <c r="B261" s="138"/>
      <c r="C261" s="128"/>
      <c r="D261" s="128"/>
      <c r="E261" s="302" t="s">
        <v>225</v>
      </c>
      <c r="F261" s="303"/>
      <c r="G261" s="191"/>
      <c r="H261" s="191"/>
      <c r="I261" s="191"/>
      <c r="J261" s="191"/>
      <c r="K261" s="206">
        <v>7</v>
      </c>
      <c r="L261" s="68"/>
      <c r="M261" s="69"/>
      <c r="N261" s="66"/>
      <c r="O261" s="189"/>
      <c r="P261" s="66"/>
      <c r="Q261" s="189"/>
      <c r="R261" s="140"/>
    </row>
    <row r="262" spans="2:31" s="1" customFormat="1" ht="15" x14ac:dyDescent="0.3">
      <c r="B262" s="138"/>
      <c r="C262" s="128"/>
      <c r="D262" s="128"/>
      <c r="E262" s="155"/>
      <c r="F262" s="123"/>
      <c r="G262" s="124"/>
      <c r="H262" s="124"/>
      <c r="I262" s="124"/>
      <c r="J262" s="125"/>
      <c r="K262" s="207">
        <f>SUM(K260:K261)</f>
        <v>112</v>
      </c>
      <c r="L262" s="68"/>
      <c r="M262" s="69"/>
      <c r="N262" s="66"/>
      <c r="O262" s="189"/>
      <c r="P262" s="66"/>
      <c r="Q262" s="189"/>
      <c r="R262" s="140"/>
      <c r="T262" s="97"/>
      <c r="U262" s="97"/>
      <c r="V262" s="97"/>
      <c r="W262" s="97"/>
      <c r="X262" s="97"/>
      <c r="Y262" s="97"/>
      <c r="Z262" s="97"/>
      <c r="AA262" s="97"/>
    </row>
    <row r="263" spans="2:31" s="97" customFormat="1" ht="15" x14ac:dyDescent="0.3">
      <c r="B263" s="96"/>
      <c r="D263" s="82" t="s">
        <v>67</v>
      </c>
      <c r="E263" s="82"/>
      <c r="F263" s="82"/>
      <c r="G263" s="82"/>
      <c r="H263" s="82"/>
      <c r="I263" s="82"/>
      <c r="J263" s="82"/>
      <c r="K263" s="135"/>
      <c r="L263" s="82"/>
      <c r="M263" s="108">
        <f>SUM(M264:M268)</f>
        <v>0</v>
      </c>
      <c r="N263" s="249"/>
      <c r="O263" s="98">
        <f>SUM(O264:O268)</f>
        <v>0</v>
      </c>
      <c r="P263" s="249"/>
      <c r="Q263" s="98">
        <f>SUM(Q264:Q268)</f>
        <v>0</v>
      </c>
      <c r="R263" s="140"/>
      <c r="S263" s="1"/>
      <c r="T263" s="1"/>
      <c r="U263" s="1"/>
      <c r="V263" s="1"/>
      <c r="W263" s="1"/>
      <c r="X263" s="1"/>
      <c r="Y263" s="1"/>
      <c r="Z263" s="1"/>
      <c r="AA263" s="1"/>
    </row>
    <row r="264" spans="2:31" s="1" customFormat="1" x14ac:dyDescent="0.25">
      <c r="B264" s="20"/>
      <c r="C264" s="211" t="s">
        <v>249</v>
      </c>
      <c r="D264" s="270"/>
      <c r="E264" s="157" t="s">
        <v>95</v>
      </c>
      <c r="F264" s="361" t="s">
        <v>96</v>
      </c>
      <c r="G264" s="371"/>
      <c r="H264" s="371"/>
      <c r="I264" s="371"/>
      <c r="J264" s="126" t="s">
        <v>79</v>
      </c>
      <c r="K264" s="81">
        <f>K266+K267+K268</f>
        <v>200.14749999999998</v>
      </c>
      <c r="L264" s="148"/>
      <c r="M264" s="110">
        <f>ROUND(L264*K264,2)</f>
        <v>0</v>
      </c>
      <c r="N264" s="78"/>
      <c r="O264" s="170">
        <v>0</v>
      </c>
      <c r="P264" s="78"/>
      <c r="Q264" s="170">
        <v>0</v>
      </c>
      <c r="R264" s="140"/>
    </row>
    <row r="265" spans="2:31" s="1" customFormat="1" x14ac:dyDescent="0.25">
      <c r="B265" s="20"/>
      <c r="C265" s="160">
        <v>65</v>
      </c>
      <c r="D265" s="160"/>
      <c r="E265" s="161" t="s">
        <v>158</v>
      </c>
      <c r="F265" s="372" t="s">
        <v>159</v>
      </c>
      <c r="G265" s="373"/>
      <c r="H265" s="373"/>
      <c r="I265" s="373"/>
      <c r="J265" s="129" t="s">
        <v>79</v>
      </c>
      <c r="K265" s="100">
        <f>K264</f>
        <v>200.14749999999998</v>
      </c>
      <c r="L265" s="149"/>
      <c r="M265" s="101">
        <f>ROUND(L265*K265,2)</f>
        <v>0</v>
      </c>
      <c r="N265" s="79"/>
      <c r="O265" s="171">
        <v>0</v>
      </c>
      <c r="P265" s="79"/>
      <c r="Q265" s="171">
        <v>0</v>
      </c>
      <c r="R265" s="140"/>
    </row>
    <row r="266" spans="2:31" s="1" customFormat="1" x14ac:dyDescent="0.25">
      <c r="B266" s="20"/>
      <c r="C266" s="212">
        <v>66</v>
      </c>
      <c r="D266" s="160"/>
      <c r="E266" s="161"/>
      <c r="F266" s="372" t="s">
        <v>157</v>
      </c>
      <c r="G266" s="373"/>
      <c r="H266" s="373"/>
      <c r="I266" s="373"/>
      <c r="J266" s="129" t="s">
        <v>79</v>
      </c>
      <c r="K266" s="100">
        <f>Q131+Q134</f>
        <v>49.5</v>
      </c>
      <c r="L266" s="149"/>
      <c r="M266" s="101">
        <f t="shared" ref="M266:M267" si="72">ROUND(L266*K266,2)</f>
        <v>0</v>
      </c>
      <c r="N266" s="79"/>
      <c r="O266" s="171">
        <v>0</v>
      </c>
      <c r="P266" s="79"/>
      <c r="Q266" s="171">
        <v>0</v>
      </c>
      <c r="R266" s="140"/>
    </row>
    <row r="267" spans="2:31" s="1" customFormat="1" x14ac:dyDescent="0.25">
      <c r="B267" s="20"/>
      <c r="C267" s="213">
        <v>67</v>
      </c>
      <c r="D267" s="160"/>
      <c r="E267" s="161"/>
      <c r="F267" s="372" t="s">
        <v>155</v>
      </c>
      <c r="G267" s="373"/>
      <c r="H267" s="373"/>
      <c r="I267" s="373"/>
      <c r="J267" s="129" t="s">
        <v>79</v>
      </c>
      <c r="K267" s="100">
        <f>Q119+Q137</f>
        <v>32.287500000000001</v>
      </c>
      <c r="L267" s="149"/>
      <c r="M267" s="101">
        <f t="shared" si="72"/>
        <v>0</v>
      </c>
      <c r="N267" s="79"/>
      <c r="O267" s="171">
        <v>0</v>
      </c>
      <c r="P267" s="79"/>
      <c r="Q267" s="171">
        <v>0</v>
      </c>
      <c r="R267" s="21"/>
    </row>
    <row r="268" spans="2:31" s="1" customFormat="1" ht="15" x14ac:dyDescent="0.3">
      <c r="B268" s="20"/>
      <c r="C268" s="210">
        <v>68</v>
      </c>
      <c r="D268" s="271"/>
      <c r="E268" s="158"/>
      <c r="F268" s="362" t="s">
        <v>156</v>
      </c>
      <c r="G268" s="363"/>
      <c r="H268" s="363"/>
      <c r="I268" s="363"/>
      <c r="J268" s="127" t="s">
        <v>79</v>
      </c>
      <c r="K268" s="111">
        <f>Q128+Q125+Q122</f>
        <v>118.36</v>
      </c>
      <c r="L268" s="150"/>
      <c r="M268" s="112">
        <f>ROUND(L268*K268,2)</f>
        <v>0</v>
      </c>
      <c r="N268" s="80"/>
      <c r="O268" s="172">
        <v>0</v>
      </c>
      <c r="P268" s="80"/>
      <c r="Q268" s="172">
        <v>0</v>
      </c>
      <c r="R268" s="21"/>
      <c r="W268" s="97"/>
      <c r="X268" s="97"/>
      <c r="Y268" s="97"/>
      <c r="Z268" s="97"/>
      <c r="AA268" s="97"/>
      <c r="AB268" s="97"/>
      <c r="AC268" s="97"/>
      <c r="AD268" s="97"/>
      <c r="AE268" s="97"/>
    </row>
    <row r="269" spans="2:31" s="97" customFormat="1" ht="15" x14ac:dyDescent="0.3">
      <c r="B269" s="96"/>
      <c r="D269" s="82" t="s">
        <v>85</v>
      </c>
      <c r="E269" s="82"/>
      <c r="F269" s="82"/>
      <c r="G269" s="82"/>
      <c r="H269" s="82"/>
      <c r="I269" s="82"/>
      <c r="J269" s="82"/>
      <c r="K269" s="135"/>
      <c r="L269" s="82"/>
      <c r="M269" s="108">
        <f>SUM(M270:M270)</f>
        <v>0</v>
      </c>
      <c r="N269" s="249"/>
      <c r="O269" s="98">
        <f>SUM(O270:O270)</f>
        <v>0</v>
      </c>
      <c r="P269" s="249"/>
      <c r="Q269" s="98">
        <f>SUM(Q270:Q270)</f>
        <v>0</v>
      </c>
      <c r="R269" s="103"/>
      <c r="W269" s="1"/>
      <c r="X269" s="1"/>
      <c r="Y269" s="1"/>
      <c r="Z269" s="1"/>
      <c r="AA269" s="1"/>
      <c r="AB269" s="1"/>
      <c r="AC269" s="1"/>
      <c r="AD269" s="1"/>
      <c r="AE269" s="1"/>
    </row>
    <row r="270" spans="2:31" s="1" customFormat="1" ht="13.5" customHeight="1" x14ac:dyDescent="0.25">
      <c r="B270" s="20"/>
      <c r="C270" s="238">
        <v>69</v>
      </c>
      <c r="D270" s="238" t="s">
        <v>75</v>
      </c>
      <c r="E270" s="185" t="s">
        <v>99</v>
      </c>
      <c r="F270" s="380" t="s">
        <v>100</v>
      </c>
      <c r="G270" s="381"/>
      <c r="H270" s="381"/>
      <c r="I270" s="381"/>
      <c r="J270" s="122" t="s">
        <v>79</v>
      </c>
      <c r="K270" s="243">
        <f>O117</f>
        <v>464.81662200000005</v>
      </c>
      <c r="L270" s="147"/>
      <c r="M270" s="109">
        <f>ROUND(L270*K270,2)</f>
        <v>0</v>
      </c>
      <c r="N270" s="77"/>
      <c r="O270" s="156">
        <v>0</v>
      </c>
      <c r="P270" s="77"/>
      <c r="Q270" s="156">
        <v>0</v>
      </c>
      <c r="R270" s="21"/>
    </row>
    <row r="271" spans="2:31" s="1" customFormat="1" ht="13.5" customHeight="1" x14ac:dyDescent="0.25">
      <c r="B271" s="20"/>
      <c r="C271" s="183"/>
      <c r="D271" s="183"/>
      <c r="E271" s="261"/>
      <c r="F271" s="262"/>
      <c r="G271" s="263"/>
      <c r="H271" s="263"/>
      <c r="I271" s="263"/>
      <c r="J271" s="7"/>
      <c r="K271" s="174"/>
      <c r="L271" s="174"/>
      <c r="M271" s="85"/>
      <c r="N271" s="173"/>
      <c r="O271" s="113"/>
      <c r="P271" s="173"/>
      <c r="Q271" s="113"/>
      <c r="R271" s="21"/>
    </row>
    <row r="272" spans="2:31" s="1" customFormat="1" ht="13.5" customHeight="1" x14ac:dyDescent="0.25">
      <c r="B272" s="20"/>
      <c r="C272" s="269" t="s">
        <v>192</v>
      </c>
      <c r="D272" s="183"/>
      <c r="E272" s="261"/>
      <c r="F272" s="262"/>
      <c r="G272" s="263"/>
      <c r="H272" s="263"/>
      <c r="I272" s="263"/>
      <c r="J272" s="7"/>
      <c r="K272" s="174"/>
      <c r="L272" s="174"/>
      <c r="M272" s="85"/>
      <c r="N272" s="173"/>
      <c r="O272" s="113"/>
      <c r="P272" s="173"/>
      <c r="Q272" s="113"/>
      <c r="R272" s="21"/>
    </row>
    <row r="273" spans="2:31" s="1" customFormat="1" ht="13.5" customHeight="1" x14ac:dyDescent="0.25">
      <c r="B273" s="20"/>
      <c r="C273" s="183"/>
      <c r="D273" s="8" t="s">
        <v>213</v>
      </c>
      <c r="E273" s="261"/>
      <c r="F273" s="262"/>
      <c r="G273" s="263"/>
      <c r="H273" s="263"/>
      <c r="I273" s="263"/>
      <c r="J273" s="7"/>
      <c r="K273" s="174"/>
      <c r="L273" s="174"/>
      <c r="M273" s="85"/>
      <c r="N273" s="173"/>
      <c r="O273" s="113"/>
      <c r="P273" s="173"/>
      <c r="Q273" s="113"/>
      <c r="R273" s="21"/>
    </row>
    <row r="274" spans="2:31" s="1" customFormat="1" ht="13.5" customHeight="1" x14ac:dyDescent="0.25">
      <c r="B274" s="20"/>
      <c r="C274" s="183"/>
      <c r="D274" s="8" t="s">
        <v>241</v>
      </c>
      <c r="E274" s="261"/>
      <c r="F274" s="262"/>
      <c r="G274" s="263"/>
      <c r="H274" s="263"/>
      <c r="I274" s="263"/>
      <c r="J274" s="7"/>
      <c r="K274" s="174"/>
      <c r="L274" s="174"/>
      <c r="M274" s="85"/>
      <c r="N274" s="173"/>
      <c r="O274" s="113"/>
      <c r="P274" s="173"/>
      <c r="Q274" s="113"/>
      <c r="R274" s="21"/>
    </row>
    <row r="275" spans="2:31" s="1" customFormat="1" ht="13.5" customHeight="1" x14ac:dyDescent="0.25">
      <c r="B275" s="20"/>
      <c r="C275" s="183"/>
      <c r="D275" s="8" t="s">
        <v>242</v>
      </c>
      <c r="E275" s="261"/>
      <c r="F275" s="262"/>
      <c r="G275" s="263"/>
      <c r="H275" s="263"/>
      <c r="I275" s="263"/>
      <c r="J275" s="7"/>
      <c r="K275" s="174"/>
      <c r="L275" s="174"/>
      <c r="M275" s="85"/>
      <c r="N275" s="173"/>
      <c r="O275" s="113"/>
      <c r="P275" s="173"/>
      <c r="Q275" s="113"/>
      <c r="R275" s="21"/>
    </row>
    <row r="276" spans="2:31" s="1" customFormat="1" ht="13.5" customHeight="1" x14ac:dyDescent="0.25">
      <c r="B276" s="20"/>
      <c r="C276" s="183"/>
      <c r="D276" s="183"/>
      <c r="E276" s="261"/>
      <c r="F276" s="262"/>
      <c r="G276" s="263"/>
      <c r="H276" s="263"/>
      <c r="I276" s="263"/>
      <c r="J276" s="7"/>
      <c r="K276" s="174"/>
      <c r="L276" s="174"/>
      <c r="M276" s="85"/>
      <c r="N276" s="173"/>
      <c r="O276" s="113"/>
      <c r="P276" s="173"/>
      <c r="Q276" s="113"/>
      <c r="R276" s="21"/>
    </row>
    <row r="277" spans="2:31" s="1" customFormat="1" ht="6.95" customHeight="1" x14ac:dyDescent="0.3">
      <c r="B277" s="40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90"/>
      <c r="O277" s="90"/>
      <c r="P277" s="90"/>
      <c r="Q277" s="90"/>
      <c r="R277" s="42"/>
      <c r="W277"/>
      <c r="X277"/>
      <c r="Y277"/>
      <c r="Z277"/>
      <c r="AA277"/>
      <c r="AB277"/>
      <c r="AC277"/>
      <c r="AD277"/>
      <c r="AE277"/>
    </row>
  </sheetData>
  <mergeCells count="129">
    <mergeCell ref="F143:I143"/>
    <mergeCell ref="F125:I125"/>
    <mergeCell ref="F197:I197"/>
    <mergeCell ref="F198:I198"/>
    <mergeCell ref="F199:I199"/>
    <mergeCell ref="F200:I200"/>
    <mergeCell ref="F201:I201"/>
    <mergeCell ref="F202:I202"/>
    <mergeCell ref="F156:I156"/>
    <mergeCell ref="F174:I174"/>
    <mergeCell ref="F176:I176"/>
    <mergeCell ref="F177:I177"/>
    <mergeCell ref="F175:I175"/>
    <mergeCell ref="F178:I178"/>
    <mergeCell ref="F181:I181"/>
    <mergeCell ref="F182:I182"/>
    <mergeCell ref="F186:I186"/>
    <mergeCell ref="F188:I188"/>
    <mergeCell ref="F193:I193"/>
    <mergeCell ref="F187:I187"/>
    <mergeCell ref="F270:I270"/>
    <mergeCell ref="F259:I259"/>
    <mergeCell ref="F264:I264"/>
    <mergeCell ref="F265:I265"/>
    <mergeCell ref="F266:I266"/>
    <mergeCell ref="F267:I267"/>
    <mergeCell ref="F268:I268"/>
    <mergeCell ref="F241:I241"/>
    <mergeCell ref="F244:I244"/>
    <mergeCell ref="F247:I247"/>
    <mergeCell ref="F250:I250"/>
    <mergeCell ref="F257:I257"/>
    <mergeCell ref="F258:I258"/>
    <mergeCell ref="F254:I254"/>
    <mergeCell ref="F253:I253"/>
    <mergeCell ref="F222:I222"/>
    <mergeCell ref="F226:I226"/>
    <mergeCell ref="F229:I229"/>
    <mergeCell ref="F233:I233"/>
    <mergeCell ref="F235:I235"/>
    <mergeCell ref="F234:I234"/>
    <mergeCell ref="F221:I221"/>
    <mergeCell ref="F206:I206"/>
    <mergeCell ref="F207:I207"/>
    <mergeCell ref="F212:I212"/>
    <mergeCell ref="F215:I215"/>
    <mergeCell ref="F218:I218"/>
    <mergeCell ref="F205:I205"/>
    <mergeCell ref="F189:I189"/>
    <mergeCell ref="F192:I192"/>
    <mergeCell ref="F119:I119"/>
    <mergeCell ref="F128:I128"/>
    <mergeCell ref="P114:Q114"/>
    <mergeCell ref="F131:I131"/>
    <mergeCell ref="F122:I122"/>
    <mergeCell ref="F134:I134"/>
    <mergeCell ref="F137:I137"/>
    <mergeCell ref="F162:I162"/>
    <mergeCell ref="F163:I163"/>
    <mergeCell ref="F164:I164"/>
    <mergeCell ref="F155:I155"/>
    <mergeCell ref="F157:I157"/>
    <mergeCell ref="F158:I158"/>
    <mergeCell ref="F168:I168"/>
    <mergeCell ref="F140:I140"/>
    <mergeCell ref="F146:I146"/>
    <mergeCell ref="F147:I147"/>
    <mergeCell ref="F150:I150"/>
    <mergeCell ref="F151:I151"/>
    <mergeCell ref="F152:I152"/>
    <mergeCell ref="M111:Q111"/>
    <mergeCell ref="M112:Q112"/>
    <mergeCell ref="C114:C115"/>
    <mergeCell ref="D114:D115"/>
    <mergeCell ref="E114:E115"/>
    <mergeCell ref="F114:I115"/>
    <mergeCell ref="J114:J115"/>
    <mergeCell ref="K114:K115"/>
    <mergeCell ref="L114:M114"/>
    <mergeCell ref="N114:O114"/>
    <mergeCell ref="M81:N81"/>
    <mergeCell ref="M83:Q83"/>
    <mergeCell ref="M84:Q84"/>
    <mergeCell ref="C86:G86"/>
    <mergeCell ref="O86:Q86"/>
    <mergeCell ref="O88:Q88"/>
    <mergeCell ref="H35:J35"/>
    <mergeCell ref="M35:P35"/>
    <mergeCell ref="L37:P37"/>
    <mergeCell ref="C76:Q76"/>
    <mergeCell ref="F78:P78"/>
    <mergeCell ref="F79:P79"/>
    <mergeCell ref="H32:J32"/>
    <mergeCell ref="M32:P32"/>
    <mergeCell ref="H33:J33"/>
    <mergeCell ref="M33:P33"/>
    <mergeCell ref="H34:J34"/>
    <mergeCell ref="M34:P34"/>
    <mergeCell ref="O20:P20"/>
    <mergeCell ref="E23:L23"/>
    <mergeCell ref="M26:P26"/>
    <mergeCell ref="M27:P27"/>
    <mergeCell ref="M29:P29"/>
    <mergeCell ref="H31:J31"/>
    <mergeCell ref="M31:P31"/>
    <mergeCell ref="O11:P11"/>
    <mergeCell ref="O13:P13"/>
    <mergeCell ref="O14:P14"/>
    <mergeCell ref="O16:P16"/>
    <mergeCell ref="O17:P17"/>
    <mergeCell ref="O19:P19"/>
    <mergeCell ref="C1:Q1"/>
    <mergeCell ref="C3:Q3"/>
    <mergeCell ref="F5:P5"/>
    <mergeCell ref="F6:P6"/>
    <mergeCell ref="O8:P8"/>
    <mergeCell ref="O10:P10"/>
    <mergeCell ref="O90:Q90"/>
    <mergeCell ref="O98:Q98"/>
    <mergeCell ref="C104:Q104"/>
    <mergeCell ref="F106:P106"/>
    <mergeCell ref="F107:P107"/>
    <mergeCell ref="M109:P109"/>
    <mergeCell ref="O91:Q91"/>
    <mergeCell ref="O92:Q92"/>
    <mergeCell ref="O89:Q89"/>
    <mergeCell ref="O93:Q93"/>
    <mergeCell ref="O94:Q94"/>
    <mergeCell ref="O96:Q96"/>
  </mergeCells>
  <printOptions horizontalCentered="1"/>
  <pageMargins left="0.19685039370078741" right="0.19685039370078741" top="0.51181102362204722" bottom="0.39370078740157483" header="0" footer="0.19685039370078741"/>
  <pageSetup paperSize="9" scale="75" orientation="portrait" errors="blank" r:id="rId1"/>
  <headerFooter>
    <oddFooter>Stránka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U127"/>
  <sheetViews>
    <sheetView topLeftCell="A93" workbookViewId="0">
      <selection activeCell="L114" sqref="L114:L121"/>
    </sheetView>
  </sheetViews>
  <sheetFormatPr defaultColWidth="9.28515625" defaultRowHeight="13.5" x14ac:dyDescent="0.3"/>
  <cols>
    <col min="1" max="1" width="8.28515625" customWidth="1"/>
    <col min="2" max="2" width="1.7109375" customWidth="1"/>
    <col min="3" max="3" width="4.140625" customWidth="1"/>
    <col min="4" max="4" width="4.28515625" customWidth="1"/>
    <col min="5" max="5" width="10" customWidth="1"/>
    <col min="6" max="7" width="11.140625" customWidth="1"/>
    <col min="8" max="8" width="12.42578125" customWidth="1"/>
    <col min="9" max="9" width="9.42578125" customWidth="1"/>
    <col min="10" max="10" width="5.42578125" customWidth="1"/>
    <col min="11" max="11" width="9.28515625" customWidth="1"/>
    <col min="12" max="12" width="8" bestFit="1" customWidth="1"/>
    <col min="13" max="13" width="11.7109375" bestFit="1" customWidth="1"/>
    <col min="14" max="14" width="7.28515625" style="84" bestFit="1" customWidth="1"/>
    <col min="15" max="15" width="9.42578125" style="84" customWidth="1"/>
    <col min="16" max="16" width="6.7109375" style="84" bestFit="1" customWidth="1"/>
    <col min="17" max="17" width="8.140625" style="84" customWidth="1"/>
    <col min="18" max="18" width="2.140625" customWidth="1"/>
    <col min="19" max="19" width="3.42578125" customWidth="1"/>
  </cols>
  <sheetData>
    <row r="1" spans="2:18" ht="17.25" customHeight="1" x14ac:dyDescent="0.3">
      <c r="C1" s="322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</row>
    <row r="2" spans="2:18" ht="6.95" customHeight="1" x14ac:dyDescent="0.3">
      <c r="B2" s="9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83"/>
      <c r="O2" s="83"/>
      <c r="P2" s="83"/>
      <c r="Q2" s="83"/>
      <c r="R2" s="11"/>
    </row>
    <row r="3" spans="2:18" ht="36.950000000000003" customHeight="1" x14ac:dyDescent="0.3">
      <c r="B3" s="12"/>
      <c r="C3" s="324" t="s">
        <v>57</v>
      </c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13"/>
    </row>
    <row r="4" spans="2:18" ht="6.95" customHeight="1" x14ac:dyDescent="0.3">
      <c r="B4" s="12"/>
      <c r="R4" s="13"/>
    </row>
    <row r="5" spans="2:18" s="1" customFormat="1" ht="18" x14ac:dyDescent="0.25">
      <c r="B5" s="20"/>
      <c r="D5" s="16" t="s">
        <v>6</v>
      </c>
      <c r="F5" s="326" t="str">
        <f>'Rekapitulace stavby'!K5</f>
        <v>VÝSTAVBA CHODNÍKU TOPOL PODÉL SILNICE III/34034</v>
      </c>
      <c r="G5" s="329"/>
      <c r="H5" s="329"/>
      <c r="I5" s="329"/>
      <c r="J5" s="329"/>
      <c r="K5" s="329"/>
      <c r="L5" s="329"/>
      <c r="M5" s="329"/>
      <c r="N5" s="329"/>
      <c r="O5" s="329"/>
      <c r="P5" s="329"/>
      <c r="Q5" s="85"/>
      <c r="R5" s="21"/>
    </row>
    <row r="6" spans="2:18" s="1" customFormat="1" ht="18" x14ac:dyDescent="0.25">
      <c r="B6" s="20"/>
      <c r="D6" s="16" t="s">
        <v>119</v>
      </c>
      <c r="F6" s="326" t="s">
        <v>167</v>
      </c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85"/>
      <c r="R6" s="21"/>
    </row>
    <row r="7" spans="2:18" s="1" customFormat="1" ht="14.45" customHeight="1" x14ac:dyDescent="0.25">
      <c r="B7" s="20"/>
      <c r="D7" s="17" t="s">
        <v>8</v>
      </c>
      <c r="F7" s="15" t="s">
        <v>9</v>
      </c>
      <c r="M7" s="17" t="s">
        <v>10</v>
      </c>
      <c r="N7" s="85"/>
      <c r="O7" s="117" t="s">
        <v>9</v>
      </c>
      <c r="P7" s="85"/>
      <c r="Q7" s="85"/>
      <c r="R7" s="21"/>
    </row>
    <row r="8" spans="2:18" s="1" customFormat="1" ht="14.45" customHeight="1" x14ac:dyDescent="0.25">
      <c r="B8" s="20"/>
      <c r="D8" s="17" t="s">
        <v>12</v>
      </c>
      <c r="F8" s="15" t="str">
        <f>'Rekapitulace stavby'!K7</f>
        <v>p.č. 2/3, 2/8, 772, 444, 448, 406/3 a st.15 v k.ú. Topol</v>
      </c>
      <c r="M8" s="17" t="s">
        <v>13</v>
      </c>
      <c r="N8" s="85"/>
      <c r="O8" s="346">
        <f>'Rekapitulace stavby'!AN7</f>
        <v>46013</v>
      </c>
      <c r="P8" s="347"/>
      <c r="Q8" s="85"/>
      <c r="R8" s="21"/>
    </row>
    <row r="9" spans="2:18" s="1" customFormat="1" ht="10.9" customHeight="1" x14ac:dyDescent="0.25">
      <c r="B9" s="20"/>
      <c r="N9" s="85"/>
      <c r="O9" s="85"/>
      <c r="P9" s="85"/>
      <c r="Q9" s="85"/>
      <c r="R9" s="21"/>
    </row>
    <row r="10" spans="2:18" s="1" customFormat="1" ht="14.45" customHeight="1" x14ac:dyDescent="0.25">
      <c r="B10" s="20"/>
      <c r="D10" s="17" t="s">
        <v>16</v>
      </c>
      <c r="F10" s="1" t="str">
        <f>'Rekapitulace stavby'!K9</f>
        <v>Město Chrudim, Resselovo náměstí 77, 537 16 Chrudim</v>
      </c>
      <c r="M10" s="17" t="s">
        <v>17</v>
      </c>
      <c r="N10" s="85"/>
      <c r="O10" s="348" t="str">
        <f>'Rekapitulace stavby'!AN9</f>
        <v>00270211</v>
      </c>
      <c r="P10" s="349"/>
      <c r="Q10" s="85"/>
      <c r="R10" s="21"/>
    </row>
    <row r="11" spans="2:18" s="1" customFormat="1" ht="18" customHeight="1" x14ac:dyDescent="0.25">
      <c r="B11" s="20"/>
      <c r="E11" s="15" t="s">
        <v>18</v>
      </c>
      <c r="M11" s="17" t="s">
        <v>19</v>
      </c>
      <c r="N11" s="85"/>
      <c r="O11" s="345" t="s">
        <v>9</v>
      </c>
      <c r="P11" s="309"/>
      <c r="Q11" s="85"/>
      <c r="R11" s="21"/>
    </row>
    <row r="12" spans="2:18" s="1" customFormat="1" ht="6.95" customHeight="1" x14ac:dyDescent="0.25">
      <c r="B12" s="20"/>
      <c r="N12" s="85"/>
      <c r="O12" s="85"/>
      <c r="P12" s="85"/>
      <c r="Q12" s="85"/>
      <c r="R12" s="21"/>
    </row>
    <row r="13" spans="2:18" s="1" customFormat="1" ht="14.45" customHeight="1" x14ac:dyDescent="0.25">
      <c r="B13" s="20"/>
      <c r="D13" s="17" t="s">
        <v>20</v>
      </c>
      <c r="M13" s="17" t="s">
        <v>17</v>
      </c>
      <c r="N13" s="85"/>
      <c r="O13" s="345" t="s">
        <v>9</v>
      </c>
      <c r="P13" s="309"/>
      <c r="Q13" s="85"/>
      <c r="R13" s="21"/>
    </row>
    <row r="14" spans="2:18" s="1" customFormat="1" ht="18" customHeight="1" x14ac:dyDescent="0.25">
      <c r="B14" s="20"/>
      <c r="E14" s="15" t="s">
        <v>18</v>
      </c>
      <c r="M14" s="17" t="s">
        <v>19</v>
      </c>
      <c r="N14" s="85"/>
      <c r="O14" s="345" t="s">
        <v>9</v>
      </c>
      <c r="P14" s="309"/>
      <c r="Q14" s="85"/>
      <c r="R14" s="21"/>
    </row>
    <row r="15" spans="2:18" s="1" customFormat="1" ht="6.95" customHeight="1" x14ac:dyDescent="0.25">
      <c r="B15" s="20"/>
      <c r="N15" s="85"/>
      <c r="O15" s="85"/>
      <c r="P15" s="85"/>
      <c r="Q15" s="85"/>
      <c r="R15" s="21"/>
    </row>
    <row r="16" spans="2:18" s="1" customFormat="1" ht="14.45" customHeight="1" x14ac:dyDescent="0.25">
      <c r="B16" s="20"/>
      <c r="D16" s="17" t="s">
        <v>21</v>
      </c>
      <c r="M16" s="17" t="s">
        <v>17</v>
      </c>
      <c r="N16" s="85"/>
      <c r="O16" s="345" t="s">
        <v>9</v>
      </c>
      <c r="P16" s="309"/>
      <c r="Q16" s="85"/>
      <c r="R16" s="21"/>
    </row>
    <row r="17" spans="2:18" s="1" customFormat="1" ht="18" customHeight="1" x14ac:dyDescent="0.25">
      <c r="B17" s="20"/>
      <c r="E17" s="15" t="s">
        <v>18</v>
      </c>
      <c r="M17" s="17" t="s">
        <v>19</v>
      </c>
      <c r="N17" s="85"/>
      <c r="O17" s="345" t="s">
        <v>9</v>
      </c>
      <c r="P17" s="309"/>
      <c r="Q17" s="85"/>
      <c r="R17" s="21"/>
    </row>
    <row r="18" spans="2:18" s="1" customFormat="1" ht="6.95" customHeight="1" x14ac:dyDescent="0.25">
      <c r="B18" s="20"/>
      <c r="N18" s="85"/>
      <c r="O18" s="85"/>
      <c r="P18" s="85"/>
      <c r="Q18" s="85"/>
      <c r="R18" s="21"/>
    </row>
    <row r="19" spans="2:18" s="1" customFormat="1" ht="14.45" customHeight="1" x14ac:dyDescent="0.25">
      <c r="B19" s="20"/>
      <c r="D19" s="17" t="s">
        <v>23</v>
      </c>
      <c r="M19" s="17" t="s">
        <v>17</v>
      </c>
      <c r="N19" s="85"/>
      <c r="O19" s="345" t="s">
        <v>9</v>
      </c>
      <c r="P19" s="309"/>
      <c r="Q19" s="85"/>
      <c r="R19" s="21"/>
    </row>
    <row r="20" spans="2:18" s="1" customFormat="1" ht="18" customHeight="1" x14ac:dyDescent="0.25">
      <c r="B20" s="20"/>
      <c r="E20" s="15" t="s">
        <v>18</v>
      </c>
      <c r="M20" s="17" t="s">
        <v>19</v>
      </c>
      <c r="N20" s="85"/>
      <c r="O20" s="345" t="s">
        <v>9</v>
      </c>
      <c r="P20" s="309"/>
      <c r="Q20" s="85"/>
      <c r="R20" s="21"/>
    </row>
    <row r="21" spans="2:18" s="1" customFormat="1" ht="6.95" customHeight="1" x14ac:dyDescent="0.25">
      <c r="B21" s="20"/>
      <c r="N21" s="85"/>
      <c r="O21" s="85"/>
      <c r="P21" s="85"/>
      <c r="Q21" s="85"/>
      <c r="R21" s="21"/>
    </row>
    <row r="22" spans="2:18" s="1" customFormat="1" ht="14.45" customHeight="1" x14ac:dyDescent="0.25">
      <c r="B22" s="20"/>
      <c r="D22" s="17" t="s">
        <v>24</v>
      </c>
      <c r="N22" s="85"/>
      <c r="O22" s="85"/>
      <c r="P22" s="85"/>
      <c r="Q22" s="85"/>
      <c r="R22" s="21"/>
    </row>
    <row r="23" spans="2:18" s="1" customFormat="1" ht="22.5" customHeight="1" x14ac:dyDescent="0.25">
      <c r="B23" s="20"/>
      <c r="E23" s="327" t="s">
        <v>9</v>
      </c>
      <c r="F23" s="329"/>
      <c r="G23" s="329"/>
      <c r="H23" s="329"/>
      <c r="I23" s="329"/>
      <c r="J23" s="329"/>
      <c r="K23" s="329"/>
      <c r="L23" s="329"/>
      <c r="N23" s="85"/>
      <c r="O23" s="85"/>
      <c r="P23" s="85"/>
      <c r="Q23" s="85"/>
      <c r="R23" s="21"/>
    </row>
    <row r="24" spans="2:18" s="1" customFormat="1" ht="6.95" customHeight="1" x14ac:dyDescent="0.25">
      <c r="B24" s="20"/>
      <c r="N24" s="85"/>
      <c r="O24" s="85"/>
      <c r="P24" s="85"/>
      <c r="Q24" s="85"/>
      <c r="R24" s="21"/>
    </row>
    <row r="25" spans="2:18" s="1" customFormat="1" ht="6.95" customHeight="1" x14ac:dyDescent="0.25">
      <c r="B25" s="20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86"/>
      <c r="O25" s="86"/>
      <c r="P25" s="86"/>
      <c r="Q25" s="85"/>
      <c r="R25" s="21"/>
    </row>
    <row r="26" spans="2:18" s="1" customFormat="1" ht="14.45" customHeight="1" x14ac:dyDescent="0.25">
      <c r="B26" s="20"/>
      <c r="D26" s="118" t="s">
        <v>58</v>
      </c>
      <c r="H26" s="85"/>
      <c r="I26" s="85"/>
      <c r="J26" s="85"/>
      <c r="K26" s="85"/>
      <c r="L26" s="85"/>
      <c r="M26" s="313">
        <f>O88</f>
        <v>0</v>
      </c>
      <c r="N26" s="309"/>
      <c r="O26" s="309"/>
      <c r="P26" s="309"/>
      <c r="Q26" s="85"/>
      <c r="R26" s="21"/>
    </row>
    <row r="27" spans="2:18" s="1" customFormat="1" ht="14.45" customHeight="1" x14ac:dyDescent="0.25">
      <c r="B27" s="20"/>
      <c r="D27" s="19" t="s">
        <v>59</v>
      </c>
      <c r="H27" s="85"/>
      <c r="I27" s="85"/>
      <c r="J27" s="85"/>
      <c r="K27" s="85"/>
      <c r="L27" s="85"/>
      <c r="M27" s="313">
        <f>O91</f>
        <v>0</v>
      </c>
      <c r="N27" s="309"/>
      <c r="O27" s="309"/>
      <c r="P27" s="309"/>
      <c r="Q27" s="85"/>
      <c r="R27" s="21"/>
    </row>
    <row r="28" spans="2:18" s="1" customFormat="1" ht="6.95" customHeight="1" x14ac:dyDescent="0.25">
      <c r="B28" s="20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21"/>
    </row>
    <row r="29" spans="2:18" s="1" customFormat="1" ht="25.35" customHeight="1" x14ac:dyDescent="0.25">
      <c r="B29" s="20"/>
      <c r="D29" s="119" t="s">
        <v>27</v>
      </c>
      <c r="H29" s="85"/>
      <c r="I29" s="85"/>
      <c r="J29" s="85"/>
      <c r="K29" s="85"/>
      <c r="L29" s="85"/>
      <c r="M29" s="350">
        <f>ROUND(M26+M27,2)</f>
        <v>0</v>
      </c>
      <c r="N29" s="309"/>
      <c r="O29" s="309"/>
      <c r="P29" s="309"/>
      <c r="Q29" s="85"/>
      <c r="R29" s="21"/>
    </row>
    <row r="30" spans="2:18" s="1" customFormat="1" ht="6.95" customHeight="1" x14ac:dyDescent="0.25">
      <c r="B30" s="20"/>
      <c r="D30" s="32"/>
      <c r="E30" s="32"/>
      <c r="F30" s="32"/>
      <c r="G30" s="32"/>
      <c r="H30" s="86"/>
      <c r="I30" s="86"/>
      <c r="J30" s="86"/>
      <c r="K30" s="86"/>
      <c r="L30" s="86"/>
      <c r="M30" s="86"/>
      <c r="N30" s="86"/>
      <c r="O30" s="86"/>
      <c r="P30" s="86"/>
      <c r="Q30" s="85"/>
      <c r="R30" s="21"/>
    </row>
    <row r="31" spans="2:18" s="1" customFormat="1" ht="14.45" customHeight="1" x14ac:dyDescent="0.25">
      <c r="B31" s="20"/>
      <c r="D31" s="25" t="s">
        <v>28</v>
      </c>
      <c r="E31" s="25" t="s">
        <v>29</v>
      </c>
      <c r="F31" s="120">
        <v>0.21</v>
      </c>
      <c r="G31" s="121" t="s">
        <v>30</v>
      </c>
      <c r="H31" s="316">
        <f>M29</f>
        <v>0</v>
      </c>
      <c r="I31" s="309"/>
      <c r="J31" s="309"/>
      <c r="K31" s="85"/>
      <c r="L31" s="85"/>
      <c r="M31" s="316">
        <f>H31*F31</f>
        <v>0</v>
      </c>
      <c r="N31" s="309"/>
      <c r="O31" s="309"/>
      <c r="P31" s="309"/>
      <c r="Q31" s="85"/>
      <c r="R31" s="21"/>
    </row>
    <row r="32" spans="2:18" s="1" customFormat="1" ht="14.45" customHeight="1" x14ac:dyDescent="0.25">
      <c r="B32" s="20"/>
      <c r="E32" s="25" t="s">
        <v>31</v>
      </c>
      <c r="F32" s="120">
        <v>0.12</v>
      </c>
      <c r="G32" s="121" t="s">
        <v>30</v>
      </c>
      <c r="H32" s="316"/>
      <c r="I32" s="309"/>
      <c r="J32" s="309"/>
      <c r="K32" s="85"/>
      <c r="L32" s="85"/>
      <c r="M32" s="316"/>
      <c r="N32" s="309"/>
      <c r="O32" s="309"/>
      <c r="P32" s="309"/>
      <c r="Q32" s="85"/>
      <c r="R32" s="21"/>
    </row>
    <row r="33" spans="2:18" s="1" customFormat="1" ht="14.45" hidden="1" customHeight="1" x14ac:dyDescent="0.25">
      <c r="B33" s="20"/>
      <c r="E33" s="25" t="s">
        <v>32</v>
      </c>
      <c r="F33" s="120">
        <v>0.21</v>
      </c>
      <c r="G33" s="121" t="s">
        <v>30</v>
      </c>
      <c r="H33" s="316" t="e">
        <f>ROUND((SUM(#REF!)+SUM(#REF!)), 2)</f>
        <v>#REF!</v>
      </c>
      <c r="I33" s="309"/>
      <c r="J33" s="309"/>
      <c r="K33" s="85"/>
      <c r="L33" s="85"/>
      <c r="M33" s="316">
        <v>0</v>
      </c>
      <c r="N33" s="309"/>
      <c r="O33" s="309"/>
      <c r="P33" s="309"/>
      <c r="Q33" s="85"/>
      <c r="R33" s="21"/>
    </row>
    <row r="34" spans="2:18" s="1" customFormat="1" ht="14.45" hidden="1" customHeight="1" x14ac:dyDescent="0.25">
      <c r="B34" s="20"/>
      <c r="E34" s="25" t="s">
        <v>33</v>
      </c>
      <c r="F34" s="120">
        <v>0.15</v>
      </c>
      <c r="G34" s="121" t="s">
        <v>30</v>
      </c>
      <c r="H34" s="316" t="e">
        <f>ROUND((SUM(#REF!)+SUM(#REF!)), 2)</f>
        <v>#REF!</v>
      </c>
      <c r="I34" s="309"/>
      <c r="J34" s="309"/>
      <c r="K34" s="85"/>
      <c r="L34" s="85"/>
      <c r="M34" s="316">
        <v>0</v>
      </c>
      <c r="N34" s="309"/>
      <c r="O34" s="309"/>
      <c r="P34" s="309"/>
      <c r="Q34" s="85"/>
      <c r="R34" s="21"/>
    </row>
    <row r="35" spans="2:18" s="1" customFormat="1" ht="14.45" hidden="1" customHeight="1" x14ac:dyDescent="0.25">
      <c r="B35" s="20"/>
      <c r="E35" s="25" t="s">
        <v>34</v>
      </c>
      <c r="F35" s="120">
        <v>0</v>
      </c>
      <c r="G35" s="121" t="s">
        <v>30</v>
      </c>
      <c r="H35" s="316" t="e">
        <f>ROUND((SUM(#REF!)+SUM(#REF!)), 2)</f>
        <v>#REF!</v>
      </c>
      <c r="I35" s="309"/>
      <c r="J35" s="309"/>
      <c r="K35" s="85"/>
      <c r="L35" s="85"/>
      <c r="M35" s="316">
        <v>0</v>
      </c>
      <c r="N35" s="309"/>
      <c r="O35" s="309"/>
      <c r="P35" s="309"/>
      <c r="Q35" s="85"/>
      <c r="R35" s="21"/>
    </row>
    <row r="36" spans="2:18" s="1" customFormat="1" ht="6.95" customHeight="1" x14ac:dyDescent="0.25">
      <c r="B36" s="20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21"/>
    </row>
    <row r="37" spans="2:18" s="1" customFormat="1" ht="25.35" customHeight="1" x14ac:dyDescent="0.25">
      <c r="B37" s="20"/>
      <c r="D37" s="61" t="s">
        <v>35</v>
      </c>
      <c r="E37" s="52"/>
      <c r="F37" s="52"/>
      <c r="G37" s="62" t="s">
        <v>36</v>
      </c>
      <c r="H37" s="131" t="s">
        <v>37</v>
      </c>
      <c r="I37" s="132"/>
      <c r="J37" s="132"/>
      <c r="K37" s="132"/>
      <c r="L37" s="354">
        <f>SUM(M29:M35)</f>
        <v>0</v>
      </c>
      <c r="M37" s="355"/>
      <c r="N37" s="355"/>
      <c r="O37" s="355"/>
      <c r="P37" s="356"/>
      <c r="Q37" s="85"/>
      <c r="R37" s="21"/>
    </row>
    <row r="38" spans="2:18" s="1" customFormat="1" ht="14.45" customHeight="1" x14ac:dyDescent="0.25">
      <c r="B38" s="20"/>
      <c r="N38" s="85"/>
      <c r="O38" s="85"/>
      <c r="P38" s="85"/>
      <c r="Q38" s="85"/>
      <c r="R38" s="21"/>
    </row>
    <row r="39" spans="2:18" s="1" customFormat="1" ht="14.45" customHeight="1" x14ac:dyDescent="0.25">
      <c r="B39" s="20"/>
      <c r="N39" s="85"/>
      <c r="O39" s="85"/>
      <c r="P39" s="85"/>
      <c r="Q39" s="85"/>
      <c r="R39" s="21"/>
    </row>
    <row r="40" spans="2:18" x14ac:dyDescent="0.3">
      <c r="B40" s="12"/>
      <c r="R40" s="13"/>
    </row>
    <row r="41" spans="2:18" x14ac:dyDescent="0.3">
      <c r="B41" s="12"/>
      <c r="R41" s="13"/>
    </row>
    <row r="42" spans="2:18" x14ac:dyDescent="0.3">
      <c r="B42" s="12"/>
      <c r="R42" s="13"/>
    </row>
    <row r="43" spans="2:18" x14ac:dyDescent="0.3">
      <c r="B43" s="12"/>
      <c r="R43" s="13"/>
    </row>
    <row r="44" spans="2:18" x14ac:dyDescent="0.3">
      <c r="B44" s="12"/>
      <c r="R44" s="13"/>
    </row>
    <row r="45" spans="2:18" x14ac:dyDescent="0.3">
      <c r="B45" s="12"/>
      <c r="R45" s="13"/>
    </row>
    <row r="46" spans="2:18" x14ac:dyDescent="0.3">
      <c r="B46" s="12"/>
      <c r="R46" s="13"/>
    </row>
    <row r="47" spans="2:18" x14ac:dyDescent="0.3">
      <c r="B47" s="12"/>
      <c r="R47" s="13"/>
    </row>
    <row r="48" spans="2:18" x14ac:dyDescent="0.3">
      <c r="B48" s="12"/>
      <c r="R48" s="13"/>
    </row>
    <row r="49" spans="2:18" x14ac:dyDescent="0.3">
      <c r="B49" s="12"/>
      <c r="R49" s="13"/>
    </row>
    <row r="50" spans="2:18" s="1" customFormat="1" ht="15" x14ac:dyDescent="0.25">
      <c r="B50" s="20"/>
      <c r="D50" s="31" t="s">
        <v>38</v>
      </c>
      <c r="E50" s="32"/>
      <c r="F50" s="32"/>
      <c r="G50" s="32"/>
      <c r="H50" s="33"/>
      <c r="J50" s="31" t="s">
        <v>39</v>
      </c>
      <c r="K50" s="32"/>
      <c r="L50" s="32"/>
      <c r="M50" s="32"/>
      <c r="N50" s="86"/>
      <c r="O50" s="86"/>
      <c r="P50" s="87"/>
      <c r="Q50" s="85"/>
      <c r="R50" s="21"/>
    </row>
    <row r="51" spans="2:18" x14ac:dyDescent="0.3">
      <c r="B51" s="12"/>
      <c r="D51" s="34"/>
      <c r="H51" s="35"/>
      <c r="J51" s="34"/>
      <c r="P51" s="88"/>
      <c r="R51" s="13"/>
    </row>
    <row r="52" spans="2:18" x14ac:dyDescent="0.3">
      <c r="B52" s="12"/>
      <c r="D52" s="34"/>
      <c r="H52" s="35"/>
      <c r="J52" s="34"/>
      <c r="P52" s="88"/>
      <c r="R52" s="13"/>
    </row>
    <row r="53" spans="2:18" x14ac:dyDescent="0.3">
      <c r="B53" s="12"/>
      <c r="D53" s="34"/>
      <c r="H53" s="35"/>
      <c r="J53" s="34"/>
      <c r="P53" s="88"/>
      <c r="R53" s="13"/>
    </row>
    <row r="54" spans="2:18" x14ac:dyDescent="0.3">
      <c r="B54" s="12"/>
      <c r="D54" s="34"/>
      <c r="H54" s="35"/>
      <c r="J54" s="34"/>
      <c r="P54" s="88"/>
      <c r="R54" s="13"/>
    </row>
    <row r="55" spans="2:18" x14ac:dyDescent="0.3">
      <c r="B55" s="12"/>
      <c r="D55" s="34"/>
      <c r="H55" s="35"/>
      <c r="J55" s="34"/>
      <c r="P55" s="88"/>
      <c r="R55" s="13"/>
    </row>
    <row r="56" spans="2:18" x14ac:dyDescent="0.3">
      <c r="B56" s="12"/>
      <c r="D56" s="34"/>
      <c r="H56" s="35"/>
      <c r="J56" s="34"/>
      <c r="P56" s="88"/>
      <c r="R56" s="13"/>
    </row>
    <row r="57" spans="2:18" x14ac:dyDescent="0.3">
      <c r="B57" s="12"/>
      <c r="D57" s="34"/>
      <c r="H57" s="35"/>
      <c r="J57" s="34"/>
      <c r="P57" s="88"/>
      <c r="R57" s="13"/>
    </row>
    <row r="58" spans="2:18" x14ac:dyDescent="0.3">
      <c r="B58" s="12"/>
      <c r="D58" s="34"/>
      <c r="H58" s="35"/>
      <c r="J58" s="34"/>
      <c r="P58" s="88"/>
      <c r="R58" s="13"/>
    </row>
    <row r="59" spans="2:18" s="1" customFormat="1" ht="15" x14ac:dyDescent="0.25">
      <c r="B59" s="20"/>
      <c r="D59" s="36" t="s">
        <v>40</v>
      </c>
      <c r="E59" s="37"/>
      <c r="F59" s="37"/>
      <c r="G59" s="38" t="s">
        <v>41</v>
      </c>
      <c r="H59" s="39"/>
      <c r="J59" s="36" t="s">
        <v>40</v>
      </c>
      <c r="K59" s="37"/>
      <c r="L59" s="37"/>
      <c r="M59" s="37"/>
      <c r="N59" s="93" t="s">
        <v>41</v>
      </c>
      <c r="O59" s="94"/>
      <c r="P59" s="89"/>
      <c r="Q59" s="85"/>
      <c r="R59" s="21"/>
    </row>
    <row r="60" spans="2:18" x14ac:dyDescent="0.3">
      <c r="B60" s="12"/>
      <c r="R60" s="13"/>
    </row>
    <row r="61" spans="2:18" s="1" customFormat="1" ht="15" x14ac:dyDescent="0.25">
      <c r="B61" s="20"/>
      <c r="D61" s="31" t="s">
        <v>42</v>
      </c>
      <c r="E61" s="32"/>
      <c r="F61" s="32"/>
      <c r="G61" s="32"/>
      <c r="H61" s="33"/>
      <c r="J61" s="31" t="s">
        <v>43</v>
      </c>
      <c r="K61" s="32"/>
      <c r="L61" s="32"/>
      <c r="M61" s="32"/>
      <c r="N61" s="86"/>
      <c r="O61" s="86"/>
      <c r="P61" s="87"/>
      <c r="Q61" s="85"/>
      <c r="R61" s="21"/>
    </row>
    <row r="62" spans="2:18" x14ac:dyDescent="0.3">
      <c r="B62" s="12"/>
      <c r="D62" s="34"/>
      <c r="H62" s="35"/>
      <c r="J62" s="34"/>
      <c r="P62" s="88"/>
      <c r="R62" s="13"/>
    </row>
    <row r="63" spans="2:18" x14ac:dyDescent="0.3">
      <c r="B63" s="12"/>
      <c r="D63" s="34"/>
      <c r="H63" s="35"/>
      <c r="J63" s="34"/>
      <c r="P63" s="88"/>
      <c r="R63" s="13"/>
    </row>
    <row r="64" spans="2:18" x14ac:dyDescent="0.3">
      <c r="B64" s="12"/>
      <c r="D64" s="34"/>
      <c r="H64" s="35"/>
      <c r="J64" s="34"/>
      <c r="P64" s="88"/>
      <c r="R64" s="13"/>
    </row>
    <row r="65" spans="2:18" x14ac:dyDescent="0.3">
      <c r="B65" s="12"/>
      <c r="D65" s="34"/>
      <c r="H65" s="35"/>
      <c r="J65" s="34"/>
      <c r="P65" s="88"/>
      <c r="R65" s="13"/>
    </row>
    <row r="66" spans="2:18" x14ac:dyDescent="0.3">
      <c r="B66" s="12"/>
      <c r="D66" s="34"/>
      <c r="H66" s="35"/>
      <c r="J66" s="34"/>
      <c r="P66" s="88"/>
      <c r="R66" s="13"/>
    </row>
    <row r="67" spans="2:18" x14ac:dyDescent="0.3">
      <c r="B67" s="12"/>
      <c r="D67" s="34"/>
      <c r="H67" s="35"/>
      <c r="J67" s="34"/>
      <c r="P67" s="88"/>
      <c r="R67" s="13"/>
    </row>
    <row r="68" spans="2:18" x14ac:dyDescent="0.3">
      <c r="B68" s="12"/>
      <c r="D68" s="34"/>
      <c r="H68" s="35"/>
      <c r="J68" s="34"/>
      <c r="P68" s="88"/>
      <c r="R68" s="13"/>
    </row>
    <row r="69" spans="2:18" x14ac:dyDescent="0.3">
      <c r="B69" s="12"/>
      <c r="D69" s="34"/>
      <c r="H69" s="35"/>
      <c r="J69" s="34"/>
      <c r="P69" s="88"/>
      <c r="R69" s="13"/>
    </row>
    <row r="70" spans="2:18" s="1" customFormat="1" ht="15" x14ac:dyDescent="0.25">
      <c r="B70" s="20"/>
      <c r="D70" s="36" t="s">
        <v>40</v>
      </c>
      <c r="E70" s="37"/>
      <c r="F70" s="37"/>
      <c r="G70" s="38" t="s">
        <v>41</v>
      </c>
      <c r="H70" s="39"/>
      <c r="J70" s="36" t="s">
        <v>40</v>
      </c>
      <c r="K70" s="37"/>
      <c r="L70" s="37"/>
      <c r="M70" s="37"/>
      <c r="N70" s="93" t="s">
        <v>41</v>
      </c>
      <c r="O70" s="94"/>
      <c r="P70" s="89"/>
      <c r="Q70" s="85"/>
      <c r="R70" s="21"/>
    </row>
    <row r="71" spans="2:18" s="1" customFormat="1" ht="14.45" customHeight="1" x14ac:dyDescent="0.25">
      <c r="B71" s="40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90"/>
      <c r="O71" s="90"/>
      <c r="P71" s="90"/>
      <c r="Q71" s="90"/>
      <c r="R71" s="42"/>
    </row>
    <row r="75" spans="2:18" s="1" customFormat="1" ht="6.95" customHeight="1" x14ac:dyDescent="0.25">
      <c r="B75" s="43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91"/>
      <c r="O75" s="91"/>
      <c r="P75" s="91"/>
      <c r="Q75" s="91"/>
      <c r="R75" s="45"/>
    </row>
    <row r="76" spans="2:18" s="1" customFormat="1" ht="36.950000000000003" customHeight="1" x14ac:dyDescent="0.25">
      <c r="B76" s="20"/>
      <c r="C76" s="324" t="s">
        <v>60</v>
      </c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  <c r="P76" s="329"/>
      <c r="Q76" s="329"/>
      <c r="R76" s="21"/>
    </row>
    <row r="77" spans="2:18" s="1" customFormat="1" ht="6.95" customHeight="1" x14ac:dyDescent="0.25">
      <c r="B77" s="20"/>
      <c r="N77" s="85"/>
      <c r="O77" s="85"/>
      <c r="P77" s="85"/>
      <c r="Q77" s="85"/>
      <c r="R77" s="21"/>
    </row>
    <row r="78" spans="2:18" s="1" customFormat="1" ht="18" x14ac:dyDescent="0.25">
      <c r="B78" s="20"/>
      <c r="C78" s="49" t="s">
        <v>6</v>
      </c>
      <c r="F78" s="338" t="str">
        <f>F5</f>
        <v>VÝSTAVBA CHODNÍKU TOPOL PODÉL SILNICE III/34034</v>
      </c>
      <c r="G78" s="329"/>
      <c r="H78" s="329"/>
      <c r="I78" s="329"/>
      <c r="J78" s="329"/>
      <c r="K78" s="329"/>
      <c r="L78" s="329"/>
      <c r="M78" s="329"/>
      <c r="N78" s="329"/>
      <c r="O78" s="329"/>
      <c r="P78" s="329"/>
      <c r="Q78" s="85"/>
      <c r="R78" s="21"/>
    </row>
    <row r="79" spans="2:18" s="1" customFormat="1" ht="18" x14ac:dyDescent="0.25">
      <c r="B79" s="20"/>
      <c r="C79" s="16" t="s">
        <v>119</v>
      </c>
      <c r="F79" s="338" t="str">
        <f>F6</f>
        <v>VRN - vedlejší rozpočtové náklady</v>
      </c>
      <c r="G79" s="329"/>
      <c r="H79" s="329"/>
      <c r="I79" s="329"/>
      <c r="J79" s="329"/>
      <c r="K79" s="329"/>
      <c r="L79" s="329"/>
      <c r="M79" s="329"/>
      <c r="N79" s="329"/>
      <c r="O79" s="329"/>
      <c r="P79" s="329"/>
      <c r="Q79" s="85"/>
      <c r="R79" s="21"/>
    </row>
    <row r="80" spans="2:18" s="1" customFormat="1" ht="6.95" customHeight="1" x14ac:dyDescent="0.25">
      <c r="B80" s="20"/>
      <c r="N80" s="85"/>
      <c r="O80" s="85"/>
      <c r="P80" s="85"/>
      <c r="Q80" s="85"/>
      <c r="R80" s="21"/>
    </row>
    <row r="81" spans="2:18" s="1" customFormat="1" ht="18" customHeight="1" x14ac:dyDescent="0.25">
      <c r="B81" s="20"/>
      <c r="C81" s="17" t="s">
        <v>12</v>
      </c>
      <c r="F81" s="15" t="str">
        <f>F8</f>
        <v>p.č. 2/3, 2/8, 772, 444, 448, 406/3 a st.15 v k.ú. Topol</v>
      </c>
      <c r="K81" s="17" t="s">
        <v>13</v>
      </c>
      <c r="M81" s="337">
        <f>IF(O8="","",O8)</f>
        <v>46013</v>
      </c>
      <c r="N81" s="337"/>
      <c r="Q81" s="85"/>
      <c r="R81" s="21"/>
    </row>
    <row r="82" spans="2:18" s="1" customFormat="1" ht="6.95" customHeight="1" x14ac:dyDescent="0.25">
      <c r="B82" s="20"/>
      <c r="N82" s="85"/>
      <c r="O82" s="85"/>
      <c r="P82" s="85"/>
      <c r="Q82" s="85"/>
      <c r="R82" s="21"/>
    </row>
    <row r="83" spans="2:18" s="1" customFormat="1" ht="15" x14ac:dyDescent="0.25">
      <c r="B83" s="20"/>
      <c r="C83" s="17" t="s">
        <v>16</v>
      </c>
      <c r="F83" s="15" t="str">
        <f>F10</f>
        <v>Město Chrudim, Resselovo náměstí 77, 537 16 Chrudim</v>
      </c>
      <c r="K83" s="17" t="s">
        <v>21</v>
      </c>
      <c r="M83" s="325"/>
      <c r="N83" s="329"/>
      <c r="O83" s="329"/>
      <c r="P83" s="329"/>
      <c r="Q83" s="329"/>
      <c r="R83" s="21"/>
    </row>
    <row r="84" spans="2:18" s="1" customFormat="1" ht="14.45" customHeight="1" x14ac:dyDescent="0.25">
      <c r="B84" s="20"/>
      <c r="C84" s="17" t="s">
        <v>20</v>
      </c>
      <c r="F84" s="15" t="str">
        <f>IF(E14="","",E14)</f>
        <v xml:space="preserve"> </v>
      </c>
      <c r="K84" s="17" t="s">
        <v>23</v>
      </c>
      <c r="M84" s="325" t="str">
        <f>E20</f>
        <v xml:space="preserve"> </v>
      </c>
      <c r="N84" s="329"/>
      <c r="O84" s="329"/>
      <c r="P84" s="329"/>
      <c r="Q84" s="329"/>
      <c r="R84" s="21"/>
    </row>
    <row r="85" spans="2:18" s="1" customFormat="1" ht="10.35" customHeight="1" x14ac:dyDescent="0.25">
      <c r="B85" s="20"/>
      <c r="N85" s="85"/>
      <c r="O85" s="85"/>
      <c r="P85" s="85"/>
      <c r="Q85" s="85"/>
      <c r="R85" s="21"/>
    </row>
    <row r="86" spans="2:18" s="1" customFormat="1" ht="29.25" customHeight="1" x14ac:dyDescent="0.25">
      <c r="B86" s="20"/>
      <c r="C86" s="351" t="s">
        <v>61</v>
      </c>
      <c r="D86" s="352"/>
      <c r="E86" s="352"/>
      <c r="F86" s="352"/>
      <c r="G86" s="352"/>
      <c r="H86" s="60"/>
      <c r="I86" s="60"/>
      <c r="J86" s="60"/>
      <c r="K86" s="60"/>
      <c r="L86" s="60"/>
      <c r="M86" s="60"/>
      <c r="N86" s="60"/>
      <c r="O86" s="353" t="s">
        <v>62</v>
      </c>
      <c r="P86" s="353"/>
      <c r="Q86" s="353"/>
      <c r="R86" s="21"/>
    </row>
    <row r="87" spans="2:18" s="1" customFormat="1" ht="10.35" customHeight="1" x14ac:dyDescent="0.25">
      <c r="B87" s="20"/>
      <c r="O87" s="113"/>
      <c r="Q87" s="85"/>
      <c r="R87" s="21"/>
    </row>
    <row r="88" spans="2:18" s="1" customFormat="1" ht="29.25" customHeight="1" x14ac:dyDescent="0.25">
      <c r="B88" s="20"/>
      <c r="C88" s="114" t="s">
        <v>63</v>
      </c>
      <c r="O88" s="311">
        <f>SUM(O89:Q89)</f>
        <v>0</v>
      </c>
      <c r="P88" s="311"/>
      <c r="Q88" s="311"/>
      <c r="R88" s="21"/>
    </row>
    <row r="89" spans="2:18" s="6" customFormat="1" ht="19.899999999999999" customHeight="1" x14ac:dyDescent="0.25">
      <c r="B89" s="63"/>
      <c r="D89" s="115" t="s">
        <v>88</v>
      </c>
      <c r="O89" s="342">
        <f>M113</f>
        <v>0</v>
      </c>
      <c r="P89" s="342"/>
      <c r="Q89" s="342"/>
      <c r="R89" s="116"/>
    </row>
    <row r="90" spans="2:18" s="75" customFormat="1" ht="7.5" x14ac:dyDescent="0.25">
      <c r="B90" s="76"/>
      <c r="O90" s="130"/>
      <c r="Q90" s="92"/>
      <c r="R90" s="102"/>
    </row>
    <row r="91" spans="2:18" s="1" customFormat="1" ht="29.25" customHeight="1" x14ac:dyDescent="0.25">
      <c r="B91" s="20"/>
      <c r="C91" s="114" t="s">
        <v>68</v>
      </c>
      <c r="O91" s="357">
        <v>0</v>
      </c>
      <c r="P91" s="357"/>
      <c r="Q91" s="357"/>
      <c r="R91" s="21"/>
    </row>
    <row r="92" spans="2:18" s="75" customFormat="1" ht="7.5" x14ac:dyDescent="0.25">
      <c r="B92" s="76"/>
      <c r="O92" s="130"/>
      <c r="Q92" s="92"/>
      <c r="R92" s="102"/>
    </row>
    <row r="93" spans="2:18" s="1" customFormat="1" ht="29.25" customHeight="1" x14ac:dyDescent="0.25">
      <c r="B93" s="20"/>
      <c r="C93" s="59" t="s">
        <v>56</v>
      </c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343">
        <f>ROUND(SUM(O88+O91),2)</f>
        <v>0</v>
      </c>
      <c r="P93" s="343"/>
      <c r="Q93" s="343"/>
      <c r="R93" s="21"/>
    </row>
    <row r="94" spans="2:18" s="1" customFormat="1" ht="6.95" customHeight="1" x14ac:dyDescent="0.25"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90"/>
      <c r="O94" s="90"/>
      <c r="P94" s="90"/>
      <c r="Q94" s="90"/>
      <c r="R94" s="42"/>
    </row>
    <row r="98" spans="2:18" s="1" customFormat="1" x14ac:dyDescent="0.25">
      <c r="B98" s="43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91"/>
      <c r="O98" s="91"/>
      <c r="P98" s="91"/>
      <c r="Q98" s="91"/>
      <c r="R98" s="45"/>
    </row>
    <row r="99" spans="2:18" s="1" customFormat="1" ht="21" x14ac:dyDescent="0.25">
      <c r="B99" s="20"/>
      <c r="C99" s="324" t="s">
        <v>69</v>
      </c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21"/>
    </row>
    <row r="100" spans="2:18" s="75" customFormat="1" ht="7.5" x14ac:dyDescent="0.25">
      <c r="B100" s="76"/>
      <c r="N100" s="92"/>
      <c r="O100" s="92"/>
      <c r="P100" s="92"/>
      <c r="Q100" s="92"/>
      <c r="R100" s="102"/>
    </row>
    <row r="101" spans="2:18" s="1" customFormat="1" ht="18" x14ac:dyDescent="0.25">
      <c r="B101" s="20"/>
      <c r="C101" s="49" t="s">
        <v>6</v>
      </c>
      <c r="F101" s="338" t="str">
        <f>F5</f>
        <v>VÝSTAVBA CHODNÍKU TOPOL PODÉL SILNICE III/34034</v>
      </c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85"/>
      <c r="R101" s="21"/>
    </row>
    <row r="102" spans="2:18" s="1" customFormat="1" ht="18" x14ac:dyDescent="0.25">
      <c r="B102" s="20"/>
      <c r="C102" s="49" t="str">
        <f>D6</f>
        <v>Objekt:</v>
      </c>
      <c r="F102" s="338" t="str">
        <f>F6</f>
        <v>VRN - vedlejší rozpočtové náklady</v>
      </c>
      <c r="G102" s="329"/>
      <c r="H102" s="329"/>
      <c r="I102" s="329"/>
      <c r="J102" s="329"/>
      <c r="K102" s="329"/>
      <c r="L102" s="329"/>
      <c r="M102" s="329"/>
      <c r="N102" s="329"/>
      <c r="O102" s="329"/>
      <c r="P102" s="329"/>
      <c r="Q102" s="85"/>
      <c r="R102" s="21"/>
    </row>
    <row r="103" spans="2:18" s="75" customFormat="1" ht="7.5" x14ac:dyDescent="0.25">
      <c r="B103" s="76"/>
      <c r="N103" s="92"/>
      <c r="O103" s="92"/>
      <c r="P103" s="92"/>
      <c r="Q103" s="92"/>
      <c r="R103" s="102"/>
    </row>
    <row r="104" spans="2:18" s="1" customFormat="1" ht="15" x14ac:dyDescent="0.25">
      <c r="B104" s="20"/>
      <c r="C104" s="17" t="s">
        <v>12</v>
      </c>
      <c r="F104" s="15" t="str">
        <f>F8</f>
        <v>p.č. 2/3, 2/8, 772, 444, 448, 406/3 a st.15 v k.ú. Topol</v>
      </c>
      <c r="K104" s="17" t="s">
        <v>13</v>
      </c>
      <c r="M104" s="344">
        <f>IF(O8="","",O8)</f>
        <v>46013</v>
      </c>
      <c r="N104" s="329"/>
      <c r="O104" s="329"/>
      <c r="P104" s="329"/>
      <c r="Q104" s="85"/>
      <c r="R104" s="21"/>
    </row>
    <row r="105" spans="2:18" s="75" customFormat="1" ht="7.5" x14ac:dyDescent="0.25">
      <c r="B105" s="76"/>
      <c r="N105" s="92"/>
      <c r="O105" s="92"/>
      <c r="P105" s="92"/>
      <c r="Q105" s="92"/>
      <c r="R105" s="102"/>
    </row>
    <row r="106" spans="2:18" s="1" customFormat="1" ht="15" x14ac:dyDescent="0.25">
      <c r="B106" s="20"/>
      <c r="C106" s="17" t="s">
        <v>16</v>
      </c>
      <c r="F106" s="15" t="str">
        <f>E11</f>
        <v xml:space="preserve"> </v>
      </c>
      <c r="K106" s="17" t="s">
        <v>21</v>
      </c>
      <c r="M106" s="325" t="str">
        <f>E17</f>
        <v xml:space="preserve"> </v>
      </c>
      <c r="N106" s="329"/>
      <c r="O106" s="329"/>
      <c r="P106" s="329"/>
      <c r="Q106" s="329"/>
      <c r="R106" s="21"/>
    </row>
    <row r="107" spans="2:18" s="1" customFormat="1" ht="15" x14ac:dyDescent="0.25">
      <c r="B107" s="20"/>
      <c r="C107" s="17" t="s">
        <v>20</v>
      </c>
      <c r="F107" s="15" t="str">
        <f>IF(E14="","",E14)</f>
        <v xml:space="preserve"> </v>
      </c>
      <c r="K107" s="17" t="s">
        <v>23</v>
      </c>
      <c r="M107" s="325" t="str">
        <f>E20</f>
        <v xml:space="preserve"> </v>
      </c>
      <c r="N107" s="329"/>
      <c r="O107" s="329"/>
      <c r="P107" s="329"/>
      <c r="Q107" s="329"/>
      <c r="R107" s="21"/>
    </row>
    <row r="108" spans="2:18" s="75" customFormat="1" ht="7.5" x14ac:dyDescent="0.25">
      <c r="B108" s="76"/>
      <c r="N108" s="92"/>
      <c r="O108" s="92"/>
      <c r="P108" s="92"/>
      <c r="Q108" s="92"/>
      <c r="R108" s="102"/>
    </row>
    <row r="109" spans="2:18" s="7" customFormat="1" ht="15" x14ac:dyDescent="0.25">
      <c r="B109" s="64"/>
      <c r="C109" s="358" t="s">
        <v>70</v>
      </c>
      <c r="D109" s="358" t="s">
        <v>71</v>
      </c>
      <c r="E109" s="358" t="s">
        <v>45</v>
      </c>
      <c r="F109" s="358" t="s">
        <v>72</v>
      </c>
      <c r="G109" s="358"/>
      <c r="H109" s="358"/>
      <c r="I109" s="358"/>
      <c r="J109" s="358" t="s">
        <v>73</v>
      </c>
      <c r="K109" s="358" t="s">
        <v>74</v>
      </c>
      <c r="L109" s="359" t="s">
        <v>82</v>
      </c>
      <c r="M109" s="360"/>
      <c r="N109" s="358" t="s">
        <v>83</v>
      </c>
      <c r="O109" s="358"/>
      <c r="P109" s="358" t="s">
        <v>84</v>
      </c>
      <c r="Q109" s="358"/>
      <c r="R109" s="65"/>
    </row>
    <row r="110" spans="2:18" s="7" customFormat="1" ht="15" x14ac:dyDescent="0.25">
      <c r="B110" s="64"/>
      <c r="C110" s="358"/>
      <c r="D110" s="358"/>
      <c r="E110" s="358"/>
      <c r="F110" s="358"/>
      <c r="G110" s="358"/>
      <c r="H110" s="358"/>
      <c r="I110" s="358"/>
      <c r="J110" s="358"/>
      <c r="K110" s="358"/>
      <c r="L110" s="74" t="s">
        <v>80</v>
      </c>
      <c r="M110" s="106" t="s">
        <v>81</v>
      </c>
      <c r="N110" s="74" t="s">
        <v>80</v>
      </c>
      <c r="O110" s="95" t="s">
        <v>81</v>
      </c>
      <c r="P110" s="74" t="s">
        <v>80</v>
      </c>
      <c r="Q110" s="95" t="s">
        <v>81</v>
      </c>
      <c r="R110" s="65"/>
    </row>
    <row r="111" spans="2:18" s="165" customFormat="1" ht="7.5" x14ac:dyDescent="0.25">
      <c r="B111" s="166"/>
      <c r="M111" s="167"/>
      <c r="O111" s="168"/>
      <c r="Q111" s="168"/>
      <c r="R111" s="169"/>
    </row>
    <row r="112" spans="2:18" s="1" customFormat="1" ht="18" x14ac:dyDescent="0.35">
      <c r="B112" s="20"/>
      <c r="C112" s="53" t="s">
        <v>58</v>
      </c>
      <c r="D112" s="99"/>
      <c r="E112" s="99"/>
      <c r="F112" s="99"/>
      <c r="G112" s="99"/>
      <c r="H112" s="99"/>
      <c r="I112" s="99"/>
      <c r="J112" s="99"/>
      <c r="K112" s="99"/>
      <c r="L112" s="99"/>
      <c r="M112" s="107">
        <f>SUM(M114:M121)</f>
        <v>0</v>
      </c>
      <c r="N112" s="99"/>
      <c r="O112" s="105">
        <f>SUM(O114:O121)</f>
        <v>0</v>
      </c>
      <c r="P112" s="184"/>
      <c r="Q112" s="105">
        <f>SUM(Q114:Q121)</f>
        <v>0</v>
      </c>
      <c r="R112" s="21"/>
    </row>
    <row r="113" spans="1:21" s="133" customFormat="1" ht="15" x14ac:dyDescent="0.3">
      <c r="B113" s="134"/>
      <c r="D113" s="82" t="s">
        <v>88</v>
      </c>
      <c r="E113" s="82"/>
      <c r="F113" s="82"/>
      <c r="G113" s="82"/>
      <c r="H113" s="82"/>
      <c r="I113" s="82"/>
      <c r="J113" s="82"/>
      <c r="K113" s="135"/>
      <c r="L113" s="82"/>
      <c r="M113" s="108">
        <f>SUM(M114:M121)</f>
        <v>0</v>
      </c>
      <c r="O113" s="136">
        <f>SUM(O114:O121)</f>
        <v>0</v>
      </c>
      <c r="P113" s="136"/>
      <c r="Q113" s="136">
        <f>SUM(Q114:Q121)</f>
        <v>0</v>
      </c>
      <c r="R113" s="137"/>
      <c r="U113" s="1"/>
    </row>
    <row r="114" spans="1:21" s="1" customFormat="1" x14ac:dyDescent="0.3">
      <c r="A114" s="133"/>
      <c r="B114" s="138"/>
      <c r="C114" s="162">
        <v>1</v>
      </c>
      <c r="D114" s="162" t="s">
        <v>75</v>
      </c>
      <c r="E114" s="186"/>
      <c r="F114" s="382" t="s">
        <v>89</v>
      </c>
      <c r="G114" s="386"/>
      <c r="H114" s="386"/>
      <c r="I114" s="386"/>
      <c r="J114" s="139" t="s">
        <v>86</v>
      </c>
      <c r="K114" s="81">
        <v>1</v>
      </c>
      <c r="L114" s="143"/>
      <c r="M114" s="110">
        <f t="shared" ref="M114:M121" si="0">ROUND(L114*K114,2)</f>
        <v>0</v>
      </c>
      <c r="N114" s="78"/>
      <c r="O114" s="170">
        <f t="shared" ref="O114:O121" si="1">N114*K114</f>
        <v>0</v>
      </c>
      <c r="P114" s="71"/>
      <c r="Q114" s="170">
        <f t="shared" ref="Q114:Q121" si="2">P114*K114</f>
        <v>0</v>
      </c>
      <c r="R114" s="140"/>
    </row>
    <row r="115" spans="1:21" s="1" customFormat="1" x14ac:dyDescent="0.3">
      <c r="A115" s="133"/>
      <c r="B115" s="138"/>
      <c r="C115" s="163">
        <v>2</v>
      </c>
      <c r="D115" s="163" t="s">
        <v>75</v>
      </c>
      <c r="E115" s="187"/>
      <c r="F115" s="383" t="s">
        <v>90</v>
      </c>
      <c r="G115" s="385"/>
      <c r="H115" s="385"/>
      <c r="I115" s="385"/>
      <c r="J115" s="141" t="s">
        <v>86</v>
      </c>
      <c r="K115" s="100">
        <v>1</v>
      </c>
      <c r="L115" s="144"/>
      <c r="M115" s="101">
        <f t="shared" si="0"/>
        <v>0</v>
      </c>
      <c r="N115" s="79"/>
      <c r="O115" s="171">
        <f t="shared" si="1"/>
        <v>0</v>
      </c>
      <c r="P115" s="72"/>
      <c r="Q115" s="171">
        <f t="shared" si="2"/>
        <v>0</v>
      </c>
      <c r="R115" s="140"/>
    </row>
    <row r="116" spans="1:21" s="1" customFormat="1" x14ac:dyDescent="0.3">
      <c r="A116" s="133"/>
      <c r="B116" s="138"/>
      <c r="C116" s="163">
        <v>3</v>
      </c>
      <c r="D116" s="163" t="s">
        <v>75</v>
      </c>
      <c r="E116" s="187"/>
      <c r="F116" s="383" t="s">
        <v>91</v>
      </c>
      <c r="G116" s="385"/>
      <c r="H116" s="385"/>
      <c r="I116" s="385"/>
      <c r="J116" s="141" t="s">
        <v>86</v>
      </c>
      <c r="K116" s="100">
        <v>1</v>
      </c>
      <c r="L116" s="144"/>
      <c r="M116" s="101">
        <f t="shared" si="0"/>
        <v>0</v>
      </c>
      <c r="N116" s="79"/>
      <c r="O116" s="171">
        <f t="shared" si="1"/>
        <v>0</v>
      </c>
      <c r="P116" s="72"/>
      <c r="Q116" s="171">
        <f t="shared" si="2"/>
        <v>0</v>
      </c>
      <c r="R116" s="140"/>
    </row>
    <row r="117" spans="1:21" s="1" customFormat="1" x14ac:dyDescent="0.3">
      <c r="A117" s="133"/>
      <c r="B117" s="138"/>
      <c r="C117" s="163">
        <v>5</v>
      </c>
      <c r="D117" s="163" t="s">
        <v>75</v>
      </c>
      <c r="E117" s="187"/>
      <c r="F117" s="383" t="s">
        <v>92</v>
      </c>
      <c r="G117" s="385"/>
      <c r="H117" s="385"/>
      <c r="I117" s="385"/>
      <c r="J117" s="141" t="s">
        <v>86</v>
      </c>
      <c r="K117" s="100">
        <v>1</v>
      </c>
      <c r="L117" s="144"/>
      <c r="M117" s="101">
        <f t="shared" si="0"/>
        <v>0</v>
      </c>
      <c r="N117" s="79"/>
      <c r="O117" s="171">
        <f t="shared" si="1"/>
        <v>0</v>
      </c>
      <c r="P117" s="72"/>
      <c r="Q117" s="171">
        <f t="shared" si="2"/>
        <v>0</v>
      </c>
      <c r="R117" s="140"/>
    </row>
    <row r="118" spans="1:21" s="1" customFormat="1" x14ac:dyDescent="0.3">
      <c r="A118" s="133"/>
      <c r="B118" s="138"/>
      <c r="C118" s="163">
        <v>6</v>
      </c>
      <c r="D118" s="163" t="s">
        <v>75</v>
      </c>
      <c r="E118" s="187"/>
      <c r="F118" s="383" t="s">
        <v>214</v>
      </c>
      <c r="G118" s="385"/>
      <c r="H118" s="385"/>
      <c r="I118" s="385"/>
      <c r="J118" s="141" t="s">
        <v>86</v>
      </c>
      <c r="K118" s="100">
        <v>1</v>
      </c>
      <c r="L118" s="144"/>
      <c r="M118" s="101">
        <f t="shared" ref="M118" si="3">ROUND(L118*K118,2)</f>
        <v>0</v>
      </c>
      <c r="N118" s="79"/>
      <c r="O118" s="171">
        <f t="shared" ref="O118" si="4">N118*K118</f>
        <v>0</v>
      </c>
      <c r="P118" s="72"/>
      <c r="Q118" s="171">
        <f t="shared" ref="Q118" si="5">P118*K118</f>
        <v>0</v>
      </c>
      <c r="R118" s="140"/>
    </row>
    <row r="119" spans="1:21" s="1" customFormat="1" x14ac:dyDescent="0.3">
      <c r="A119" s="133"/>
      <c r="B119" s="138"/>
      <c r="C119" s="163">
        <v>7</v>
      </c>
      <c r="D119" s="163" t="s">
        <v>75</v>
      </c>
      <c r="E119" s="187"/>
      <c r="F119" s="383" t="s">
        <v>97</v>
      </c>
      <c r="G119" s="385"/>
      <c r="H119" s="385"/>
      <c r="I119" s="385"/>
      <c r="J119" s="141" t="s">
        <v>86</v>
      </c>
      <c r="K119" s="100">
        <v>1</v>
      </c>
      <c r="L119" s="144"/>
      <c r="M119" s="101">
        <f t="shared" si="0"/>
        <v>0</v>
      </c>
      <c r="N119" s="79"/>
      <c r="O119" s="171">
        <f t="shared" si="1"/>
        <v>0</v>
      </c>
      <c r="P119" s="72"/>
      <c r="Q119" s="171">
        <f t="shared" si="2"/>
        <v>0</v>
      </c>
      <c r="R119" s="140"/>
    </row>
    <row r="120" spans="1:21" s="1" customFormat="1" x14ac:dyDescent="0.3">
      <c r="A120" s="133"/>
      <c r="B120" s="138"/>
      <c r="C120" s="163">
        <v>8</v>
      </c>
      <c r="D120" s="163" t="s">
        <v>75</v>
      </c>
      <c r="E120" s="187"/>
      <c r="F120" s="383" t="s">
        <v>93</v>
      </c>
      <c r="G120" s="385"/>
      <c r="H120" s="385"/>
      <c r="I120" s="385"/>
      <c r="J120" s="141" t="s">
        <v>86</v>
      </c>
      <c r="K120" s="100">
        <v>1</v>
      </c>
      <c r="L120" s="144"/>
      <c r="M120" s="101">
        <f t="shared" si="0"/>
        <v>0</v>
      </c>
      <c r="N120" s="79"/>
      <c r="O120" s="171">
        <f t="shared" si="1"/>
        <v>0</v>
      </c>
      <c r="P120" s="72"/>
      <c r="Q120" s="171">
        <f t="shared" si="2"/>
        <v>0</v>
      </c>
      <c r="R120" s="140"/>
    </row>
    <row r="121" spans="1:21" s="1" customFormat="1" x14ac:dyDescent="0.3">
      <c r="A121" s="133"/>
      <c r="B121" s="138"/>
      <c r="C121" s="159">
        <v>9</v>
      </c>
      <c r="D121" s="159" t="s">
        <v>75</v>
      </c>
      <c r="E121" s="188"/>
      <c r="F121" s="374" t="s">
        <v>94</v>
      </c>
      <c r="G121" s="375"/>
      <c r="H121" s="375"/>
      <c r="I121" s="375"/>
      <c r="J121" s="142" t="s">
        <v>86</v>
      </c>
      <c r="K121" s="111">
        <v>2</v>
      </c>
      <c r="L121" s="145"/>
      <c r="M121" s="112">
        <f t="shared" si="0"/>
        <v>0</v>
      </c>
      <c r="N121" s="80"/>
      <c r="O121" s="172">
        <f t="shared" si="1"/>
        <v>0</v>
      </c>
      <c r="P121" s="73"/>
      <c r="Q121" s="172">
        <f t="shared" si="2"/>
        <v>0</v>
      </c>
      <c r="R121" s="140"/>
    </row>
    <row r="122" spans="1:21" s="1" customFormat="1" ht="6.95" customHeight="1" x14ac:dyDescent="0.25"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90"/>
      <c r="O122" s="90"/>
      <c r="P122" s="90"/>
      <c r="Q122" s="90"/>
      <c r="R122" s="42"/>
    </row>
    <row r="123" spans="1:21" x14ac:dyDescent="0.3">
      <c r="U123" s="1"/>
    </row>
    <row r="124" spans="1:21" x14ac:dyDescent="0.3">
      <c r="U124" s="1"/>
    </row>
    <row r="125" spans="1:21" x14ac:dyDescent="0.3">
      <c r="U125" s="1"/>
    </row>
    <row r="126" spans="1:21" x14ac:dyDescent="0.3">
      <c r="U126" s="1"/>
    </row>
    <row r="127" spans="1:21" x14ac:dyDescent="0.3">
      <c r="U127" s="1"/>
    </row>
  </sheetData>
  <mergeCells count="63">
    <mergeCell ref="O10:P10"/>
    <mergeCell ref="C1:Q1"/>
    <mergeCell ref="C3:Q3"/>
    <mergeCell ref="F5:P5"/>
    <mergeCell ref="F6:P6"/>
    <mergeCell ref="O8:P8"/>
    <mergeCell ref="H31:J31"/>
    <mergeCell ref="M31:P31"/>
    <mergeCell ref="O11:P11"/>
    <mergeCell ref="O13:P13"/>
    <mergeCell ref="O14:P14"/>
    <mergeCell ref="O16:P16"/>
    <mergeCell ref="O17:P17"/>
    <mergeCell ref="O19:P19"/>
    <mergeCell ref="O20:P20"/>
    <mergeCell ref="E23:L23"/>
    <mergeCell ref="M26:P26"/>
    <mergeCell ref="M27:P27"/>
    <mergeCell ref="M29:P29"/>
    <mergeCell ref="F79:P79"/>
    <mergeCell ref="H32:J32"/>
    <mergeCell ref="M32:P32"/>
    <mergeCell ref="H33:J33"/>
    <mergeCell ref="M33:P33"/>
    <mergeCell ref="H34:J34"/>
    <mergeCell ref="M34:P34"/>
    <mergeCell ref="H35:J35"/>
    <mergeCell ref="M35:P35"/>
    <mergeCell ref="L37:P37"/>
    <mergeCell ref="C76:Q76"/>
    <mergeCell ref="F78:P78"/>
    <mergeCell ref="M104:P104"/>
    <mergeCell ref="O89:Q89"/>
    <mergeCell ref="M81:N81"/>
    <mergeCell ref="M83:Q83"/>
    <mergeCell ref="M84:Q84"/>
    <mergeCell ref="O91:Q91"/>
    <mergeCell ref="O93:Q93"/>
    <mergeCell ref="C99:Q99"/>
    <mergeCell ref="F101:P101"/>
    <mergeCell ref="F102:P102"/>
    <mergeCell ref="C86:G86"/>
    <mergeCell ref="O86:Q86"/>
    <mergeCell ref="O88:Q88"/>
    <mergeCell ref="P109:Q109"/>
    <mergeCell ref="M106:Q106"/>
    <mergeCell ref="M107:Q107"/>
    <mergeCell ref="C109:C110"/>
    <mergeCell ref="D109:D110"/>
    <mergeCell ref="E109:E110"/>
    <mergeCell ref="F109:I110"/>
    <mergeCell ref="J109:J110"/>
    <mergeCell ref="K109:K110"/>
    <mergeCell ref="L109:M109"/>
    <mergeCell ref="N109:O109"/>
    <mergeCell ref="F118:I118"/>
    <mergeCell ref="F121:I121"/>
    <mergeCell ref="F114:I114"/>
    <mergeCell ref="F115:I115"/>
    <mergeCell ref="F116:I116"/>
    <mergeCell ref="F117:I117"/>
    <mergeCell ref="F119:I119"/>
    <mergeCell ref="F120:I120"/>
  </mergeCells>
  <printOptions horizontalCentered="1"/>
  <pageMargins left="0.19685039370078741" right="0.19685039370078741" top="0.51181102362204722" bottom="0.39370078740157483" header="0" footer="0.19685039370078741"/>
  <pageSetup paperSize="9" scale="75" orientation="portrait" errors="blank" r:id="rId1"/>
  <headerFooter>
    <oddFooter>Stránka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/>
</file>

<file path=customXml/itemProps1.xml><?xml version="1.0" encoding="utf-8"?>
<ds:datastoreItem xmlns:ds="http://schemas.openxmlformats.org/officeDocument/2006/customXml" ds:itemID="{35A7F119-F81A-4440-81C3-03390D3C5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5</vt:i4>
      </vt:variant>
    </vt:vector>
  </HeadingPairs>
  <TitlesOfParts>
    <vt:vector size="8" baseType="lpstr">
      <vt:lpstr>Rekapitulace stavby</vt:lpstr>
      <vt:lpstr>IO.101 - Chodník</vt:lpstr>
      <vt:lpstr>VRN</vt:lpstr>
      <vt:lpstr>'IO.101 - Chodník'!Názvy_tisku</vt:lpstr>
      <vt:lpstr>VRN!Názvy_tisku</vt:lpstr>
      <vt:lpstr>'IO.101 - Chodník'!Oblast_tisku</vt:lpstr>
      <vt:lpstr>'Rekapitulace stavby'!Oblast_tisku</vt:lpstr>
      <vt:lpstr>VRN!Oblast_tisku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VLADA-PC\dulikv</dc:creator>
  <cp:lastModifiedBy>hal3000</cp:lastModifiedBy>
  <cp:lastPrinted>2025-12-18T14:10:13Z</cp:lastPrinted>
  <dcterms:created xsi:type="dcterms:W3CDTF">2019-04-04T10:47:39Z</dcterms:created>
  <dcterms:modified xsi:type="dcterms:W3CDTF">2025-12-22T11:29:39Z</dcterms:modified>
</cp:coreProperties>
</file>