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uk\userhome\melnike\My Documents\PD\MK Na Ostrově\2. část\"/>
    </mc:Choice>
  </mc:AlternateContent>
  <bookViews>
    <workbookView xWindow="-120" yWindow="-120" windowWidth="29040" windowHeight="15840"/>
  </bookViews>
  <sheets>
    <sheet name="Rekapitulace stavby" sheetId="1" r:id="rId1"/>
    <sheet name="SO.100 - ČÁST 2" sheetId="7" r:id="rId2"/>
  </sheets>
  <definedNames>
    <definedName name="_xlnm.Print_Titles" localSheetId="1">'SO.100 - ČÁST 2'!$111:$113</definedName>
    <definedName name="_xlnm.Print_Area" localSheetId="0">'Rekapitulace stavby'!$C$3:$AP$68,'Rekapitulace stavby'!$C$75:$AP$91</definedName>
    <definedName name="_xlnm.Print_Area" localSheetId="1">'SO.100 - ČÁST 2'!$C$3:$Q$69,'SO.100 - ČÁST 2'!$C$75:$Q$96,'SO.100 - ČÁST 2'!$C$102:$Q$351</definedName>
  </definedNames>
  <calcPr calcId="162913"/>
</workbook>
</file>

<file path=xl/calcChain.xml><?xml version="1.0" encoding="utf-8"?>
<calcChain xmlns="http://schemas.openxmlformats.org/spreadsheetml/2006/main">
  <c r="K202" i="7" l="1"/>
  <c r="K225" i="7" l="1"/>
  <c r="K217" i="7"/>
  <c r="K172" i="7"/>
  <c r="K159" i="7"/>
  <c r="K303" i="7"/>
  <c r="K299" i="7" s="1"/>
  <c r="K298" i="7"/>
  <c r="K295" i="7" s="1"/>
  <c r="K285" i="7"/>
  <c r="K282" i="7" s="1"/>
  <c r="K280" i="7"/>
  <c r="K277" i="7"/>
  <c r="K269" i="7" s="1"/>
  <c r="K127" i="7"/>
  <c r="K119" i="7"/>
  <c r="K132" i="7" s="1"/>
  <c r="K209" i="7"/>
  <c r="K126" i="7"/>
  <c r="K128" i="7" l="1"/>
  <c r="K125" i="7" s="1"/>
  <c r="Q125" i="7" s="1"/>
  <c r="M125" i="7" l="1"/>
  <c r="O125" i="7"/>
  <c r="Q295" i="7" l="1"/>
  <c r="Q299" i="7"/>
  <c r="K279" i="7"/>
  <c r="O282" i="7"/>
  <c r="K281" i="7" l="1"/>
  <c r="K278" i="7" s="1"/>
  <c r="O278" i="7" s="1"/>
  <c r="M300" i="7"/>
  <c r="O300" i="7"/>
  <c r="Q300" i="7"/>
  <c r="M299" i="7"/>
  <c r="O299" i="7"/>
  <c r="M295" i="7"/>
  <c r="O295" i="7"/>
  <c r="Q282" i="7"/>
  <c r="M282" i="7"/>
  <c r="Q278" i="7"/>
  <c r="M278" i="7"/>
  <c r="Q269" i="7"/>
  <c r="K124" i="7"/>
  <c r="K121" i="7" s="1"/>
  <c r="K268" i="7"/>
  <c r="K265" i="7" s="1"/>
  <c r="K294" i="7"/>
  <c r="K286" i="7" s="1"/>
  <c r="K287" i="7" s="1"/>
  <c r="K288" i="7" s="1"/>
  <c r="K289" i="7" s="1"/>
  <c r="K290" i="7" s="1"/>
  <c r="K291" i="7" s="1"/>
  <c r="O291" i="7" s="1"/>
  <c r="K118" i="7"/>
  <c r="O7" i="7"/>
  <c r="M106" i="7" s="1"/>
  <c r="AM79" i="1"/>
  <c r="K179" i="7"/>
  <c r="K176" i="7" s="1"/>
  <c r="K177" i="7" s="1"/>
  <c r="Q177" i="7" s="1"/>
  <c r="K335" i="7" s="1"/>
  <c r="M335" i="7" s="1"/>
  <c r="K246" i="7"/>
  <c r="O246" i="7" s="1"/>
  <c r="K247" i="7"/>
  <c r="M247" i="7" s="1"/>
  <c r="K237" i="7"/>
  <c r="O237" i="7" s="1"/>
  <c r="K236" i="7"/>
  <c r="K196" i="7"/>
  <c r="K197" i="7" s="1"/>
  <c r="K195" i="7" s="1"/>
  <c r="O195" i="7" s="1"/>
  <c r="K193" i="7"/>
  <c r="K194" i="7" s="1"/>
  <c r="K192" i="7" s="1"/>
  <c r="K248" i="7"/>
  <c r="K250" i="7" s="1"/>
  <c r="K244" i="7" s="1"/>
  <c r="O244" i="7" s="1"/>
  <c r="K240" i="7"/>
  <c r="Q240" i="7" s="1"/>
  <c r="K241" i="7"/>
  <c r="K242" i="7" s="1"/>
  <c r="K239" i="7" s="1"/>
  <c r="K199" i="7"/>
  <c r="K200" i="7" s="1"/>
  <c r="K198" i="7" s="1"/>
  <c r="K184" i="7"/>
  <c r="K181" i="7"/>
  <c r="K182" i="7" s="1"/>
  <c r="K185" i="7" l="1"/>
  <c r="K183" i="7" s="1"/>
  <c r="Q291" i="7"/>
  <c r="M291" i="7"/>
  <c r="K120" i="7"/>
  <c r="K116" i="7" s="1"/>
  <c r="K117" i="7" s="1"/>
  <c r="O117" i="7" s="1"/>
  <c r="K131" i="7"/>
  <c r="K133" i="7" s="1"/>
  <c r="K129" i="7" s="1"/>
  <c r="K130" i="7" s="1"/>
  <c r="M288" i="7"/>
  <c r="O288" i="7"/>
  <c r="Q288" i="7"/>
  <c r="K270" i="7"/>
  <c r="Q270" i="7" s="1"/>
  <c r="M269" i="7"/>
  <c r="O269" i="7"/>
  <c r="Q121" i="7"/>
  <c r="O121" i="7"/>
  <c r="M121" i="7"/>
  <c r="Q265" i="7"/>
  <c r="O265" i="7"/>
  <c r="M265" i="7"/>
  <c r="M286" i="7"/>
  <c r="O286" i="7"/>
  <c r="Q286" i="7"/>
  <c r="M117" i="7"/>
  <c r="Q116" i="7"/>
  <c r="O116" i="7"/>
  <c r="M79" i="7"/>
  <c r="M177" i="7"/>
  <c r="O177" i="7"/>
  <c r="Q176" i="7"/>
  <c r="M176" i="7"/>
  <c r="O176" i="7"/>
  <c r="M195" i="7"/>
  <c r="Q195" i="7"/>
  <c r="M192" i="7"/>
  <c r="Q192" i="7"/>
  <c r="O192" i="7"/>
  <c r="K245" i="7"/>
  <c r="Q245" i="7" s="1"/>
  <c r="Q247" i="7"/>
  <c r="Q246" i="7"/>
  <c r="M246" i="7"/>
  <c r="O247" i="7"/>
  <c r="Q244" i="7"/>
  <c r="M244" i="7"/>
  <c r="M240" i="7"/>
  <c r="O240" i="7"/>
  <c r="Q239" i="7"/>
  <c r="O239" i="7"/>
  <c r="M239" i="7"/>
  <c r="O198" i="7"/>
  <c r="M198" i="7"/>
  <c r="Q198" i="7"/>
  <c r="M237" i="7"/>
  <c r="Q237" i="7"/>
  <c r="K309" i="7"/>
  <c r="K308" i="7"/>
  <c r="K226" i="7"/>
  <c r="K262" i="7"/>
  <c r="K233" i="7"/>
  <c r="K143" i="7"/>
  <c r="K223" i="7"/>
  <c r="K261" i="7"/>
  <c r="K260" i="7"/>
  <c r="K140" i="7"/>
  <c r="K230" i="7"/>
  <c r="K231" i="7"/>
  <c r="K141" i="7"/>
  <c r="K307" i="7"/>
  <c r="K205" i="7"/>
  <c r="K168" i="7"/>
  <c r="K221" i="7"/>
  <c r="K173" i="7"/>
  <c r="K170" i="7"/>
  <c r="Q183" i="7" l="1"/>
  <c r="O183" i="7"/>
  <c r="M183" i="7"/>
  <c r="K190" i="7"/>
  <c r="K191" i="7" s="1"/>
  <c r="K186" i="7" s="1"/>
  <c r="K187" i="7" s="1"/>
  <c r="K188" i="7" s="1"/>
  <c r="K189" i="7" s="1"/>
  <c r="M116" i="7"/>
  <c r="Q117" i="7"/>
  <c r="Q130" i="7"/>
  <c r="M130" i="7"/>
  <c r="O130" i="7"/>
  <c r="Q129" i="7"/>
  <c r="O129" i="7"/>
  <c r="M129" i="7"/>
  <c r="O270" i="7"/>
  <c r="M270" i="7"/>
  <c r="K271" i="7"/>
  <c r="O271" i="7" s="1"/>
  <c r="M289" i="7"/>
  <c r="O289" i="7"/>
  <c r="Q289" i="7"/>
  <c r="M245" i="7"/>
  <c r="O245" i="7"/>
  <c r="K227" i="7"/>
  <c r="K224" i="7"/>
  <c r="K222" i="7"/>
  <c r="K255" i="7"/>
  <c r="K253" i="7"/>
  <c r="K252" i="7"/>
  <c r="K210" i="7"/>
  <c r="K207" i="7"/>
  <c r="K211" i="7"/>
  <c r="K208" i="7"/>
  <c r="K206" i="7"/>
  <c r="K218" i="7"/>
  <c r="K216" i="7"/>
  <c r="K215" i="7"/>
  <c r="K328" i="7"/>
  <c r="K327" i="7"/>
  <c r="K146" i="7"/>
  <c r="K147" i="7"/>
  <c r="K149" i="7"/>
  <c r="K160" i="7"/>
  <c r="K158" i="7"/>
  <c r="K157" i="7"/>
  <c r="K165" i="7"/>
  <c r="K164" i="7"/>
  <c r="K163" i="7"/>
  <c r="M187" i="7" l="1"/>
  <c r="Q186" i="7"/>
  <c r="M186" i="7"/>
  <c r="M188" i="7"/>
  <c r="O186" i="7"/>
  <c r="Q188" i="7"/>
  <c r="O188" i="7"/>
  <c r="O187" i="7"/>
  <c r="Q187" i="7"/>
  <c r="K272" i="7"/>
  <c r="K273" i="7" s="1"/>
  <c r="Q273" i="7" s="1"/>
  <c r="Q271" i="7"/>
  <c r="M271" i="7"/>
  <c r="O290" i="7"/>
  <c r="M290" i="7"/>
  <c r="Q290" i="7"/>
  <c r="Q189" i="7"/>
  <c r="M189" i="7"/>
  <c r="O189" i="7"/>
  <c r="K228" i="7"/>
  <c r="K220" i="7" s="1"/>
  <c r="Q220" i="7" s="1"/>
  <c r="K219" i="7"/>
  <c r="K330" i="7"/>
  <c r="K212" i="7"/>
  <c r="K144" i="7"/>
  <c r="K139" i="7" s="1"/>
  <c r="K174" i="7"/>
  <c r="K171" i="7"/>
  <c r="K169" i="7"/>
  <c r="K154" i="7"/>
  <c r="K153" i="7"/>
  <c r="Q347" i="7"/>
  <c r="O347" i="7"/>
  <c r="M347" i="7"/>
  <c r="Q346" i="7"/>
  <c r="O346" i="7"/>
  <c r="M346" i="7"/>
  <c r="Q345" i="7"/>
  <c r="O345" i="7"/>
  <c r="M345" i="7"/>
  <c r="Q344" i="7"/>
  <c r="O344" i="7"/>
  <c r="M344" i="7"/>
  <c r="Q343" i="7"/>
  <c r="O343" i="7"/>
  <c r="M343" i="7"/>
  <c r="Q342" i="7"/>
  <c r="O342" i="7"/>
  <c r="M342" i="7"/>
  <c r="Q341" i="7"/>
  <c r="O341" i="7"/>
  <c r="M341" i="7"/>
  <c r="Q338" i="7"/>
  <c r="O338" i="7"/>
  <c r="Q331" i="7"/>
  <c r="O331" i="7"/>
  <c r="K324" i="7"/>
  <c r="K323" i="7"/>
  <c r="K322" i="7"/>
  <c r="N321" i="7"/>
  <c r="K320" i="7"/>
  <c r="K316" i="7" s="1"/>
  <c r="Q316" i="7" s="1"/>
  <c r="K315" i="7"/>
  <c r="K311" i="7" s="1"/>
  <c r="Q311" i="7" s="1"/>
  <c r="O236" i="7"/>
  <c r="M109" i="7"/>
  <c r="F109" i="7"/>
  <c r="M108" i="7"/>
  <c r="F108" i="7"/>
  <c r="F106" i="7"/>
  <c r="F104" i="7"/>
  <c r="M82" i="7"/>
  <c r="F82" i="7"/>
  <c r="M81" i="7"/>
  <c r="F81" i="7"/>
  <c r="F79" i="7"/>
  <c r="F77" i="7"/>
  <c r="H34" i="7"/>
  <c r="H33" i="7"/>
  <c r="H32" i="7"/>
  <c r="M26" i="7"/>
  <c r="K274" i="7" l="1"/>
  <c r="O273" i="7"/>
  <c r="M273" i="7"/>
  <c r="Q272" i="7"/>
  <c r="M272" i="7"/>
  <c r="O272" i="7"/>
  <c r="Q274" i="7"/>
  <c r="M274" i="7"/>
  <c r="O274" i="7"/>
  <c r="M340" i="7"/>
  <c r="O92" i="7" s="1"/>
  <c r="M220" i="7"/>
  <c r="O220" i="7"/>
  <c r="K204" i="7"/>
  <c r="K203" i="7"/>
  <c r="K175" i="7"/>
  <c r="K167" i="7" s="1"/>
  <c r="Q167" i="7" s="1"/>
  <c r="K161" i="7"/>
  <c r="K156" i="7" s="1"/>
  <c r="Q156" i="7" s="1"/>
  <c r="K166" i="7"/>
  <c r="K162" i="7" s="1"/>
  <c r="O162" i="7" s="1"/>
  <c r="K155" i="7"/>
  <c r="K151" i="7" s="1"/>
  <c r="M151" i="7" s="1"/>
  <c r="O340" i="7"/>
  <c r="K256" i="7"/>
  <c r="K251" i="7" s="1"/>
  <c r="M316" i="7"/>
  <c r="Q340" i="7"/>
  <c r="K310" i="7"/>
  <c r="K306" i="7" s="1"/>
  <c r="K263" i="7"/>
  <c r="K259" i="7" s="1"/>
  <c r="Q259" i="7" s="1"/>
  <c r="K325" i="7"/>
  <c r="K150" i="7"/>
  <c r="K145" i="7" s="1"/>
  <c r="Q145" i="7" s="1"/>
  <c r="M236" i="7"/>
  <c r="Q236" i="7"/>
  <c r="K234" i="7"/>
  <c r="K229" i="7" s="1"/>
  <c r="K235" i="7" s="1"/>
  <c r="M139" i="7"/>
  <c r="Q139" i="7"/>
  <c r="O139" i="7"/>
  <c r="K326" i="7"/>
  <c r="M311" i="7"/>
  <c r="K138" i="7"/>
  <c r="K134" i="7" s="1"/>
  <c r="O311" i="7"/>
  <c r="O316" i="7"/>
  <c r="K336" i="7" l="1"/>
  <c r="M336" i="7" s="1"/>
  <c r="M251" i="7"/>
  <c r="K257" i="7"/>
  <c r="M257" i="7" s="1"/>
  <c r="K321" i="7"/>
  <c r="O321" i="7" s="1"/>
  <c r="Q229" i="7"/>
  <c r="M235" i="7"/>
  <c r="M167" i="7"/>
  <c r="O167" i="7"/>
  <c r="K305" i="7"/>
  <c r="M156" i="7"/>
  <c r="O156" i="7"/>
  <c r="M162" i="7"/>
  <c r="Q162" i="7"/>
  <c r="K337" i="7" s="1"/>
  <c r="Q151" i="7"/>
  <c r="K304" i="7"/>
  <c r="M304" i="7" s="1"/>
  <c r="O151" i="7"/>
  <c r="M145" i="7"/>
  <c r="M259" i="7"/>
  <c r="O251" i="7"/>
  <c r="O259" i="7"/>
  <c r="O145" i="7"/>
  <c r="Q251" i="7"/>
  <c r="O229" i="7"/>
  <c r="M229" i="7"/>
  <c r="O203" i="7"/>
  <c r="K213" i="7"/>
  <c r="M213" i="7" s="1"/>
  <c r="K214" i="7"/>
  <c r="O214" i="7" s="1"/>
  <c r="Q306" i="7"/>
  <c r="O306" i="7"/>
  <c r="M306" i="7"/>
  <c r="M326" i="7"/>
  <c r="O326" i="7"/>
  <c r="Q326" i="7"/>
  <c r="Q204" i="7"/>
  <c r="O204" i="7"/>
  <c r="M204" i="7"/>
  <c r="Q134" i="7"/>
  <c r="O134" i="7"/>
  <c r="M134" i="7"/>
  <c r="M321" i="7" l="1"/>
  <c r="O305" i="7"/>
  <c r="Q321" i="7"/>
  <c r="M202" i="7"/>
  <c r="M337" i="7"/>
  <c r="Q235" i="7"/>
  <c r="Q305" i="7"/>
  <c r="O235" i="7"/>
  <c r="M305" i="7"/>
  <c r="O304" i="7"/>
  <c r="Q304" i="7"/>
  <c r="Q203" i="7"/>
  <c r="M214" i="7"/>
  <c r="Q214" i="7"/>
  <c r="M203" i="7"/>
  <c r="Q257" i="7"/>
  <c r="O257" i="7"/>
  <c r="O213" i="7"/>
  <c r="Q213" i="7"/>
  <c r="M201" i="7" l="1"/>
  <c r="Q287" i="7"/>
  <c r="Q264" i="7" s="1"/>
  <c r="O287" i="7"/>
  <c r="O264" i="7" s="1"/>
  <c r="M287" i="7"/>
  <c r="M264" i="7" s="1"/>
  <c r="O89" i="7" s="1"/>
  <c r="O88" i="7"/>
  <c r="Q202" i="7"/>
  <c r="Q201" i="7" s="1"/>
  <c r="O202" i="7"/>
  <c r="O201" i="7" s="1"/>
  <c r="K334" i="7"/>
  <c r="M334" i="7" s="1"/>
  <c r="K332" i="7"/>
  <c r="M332" i="7" s="1"/>
  <c r="K333" i="7" l="1"/>
  <c r="M333" i="7" s="1"/>
  <c r="M331" i="7" l="1"/>
  <c r="O90" i="7" s="1"/>
  <c r="AK26" i="1" l="1"/>
  <c r="L76" i="1"/>
  <c r="L77" i="1"/>
  <c r="L79" i="1"/>
  <c r="L81" i="1"/>
  <c r="AM81" i="1"/>
  <c r="L82" i="1"/>
  <c r="AM82" i="1"/>
  <c r="W34" i="1"/>
  <c r="W33" i="1"/>
  <c r="W32" i="1"/>
  <c r="K180" i="7" l="1"/>
  <c r="Q180" i="7" s="1"/>
  <c r="Q114" i="7" s="1"/>
  <c r="Q115" i="7" l="1"/>
  <c r="O180" i="7"/>
  <c r="O114" i="7" s="1"/>
  <c r="M180" i="7"/>
  <c r="M115" i="7" s="1"/>
  <c r="K339" i="7" l="1"/>
  <c r="M339" i="7" s="1"/>
  <c r="O115" i="7"/>
  <c r="O87" i="7"/>
  <c r="M114" i="7" l="1"/>
  <c r="M338" i="7"/>
  <c r="O91" i="7" s="1"/>
  <c r="O86" i="7"/>
  <c r="T86" i="7" l="1"/>
  <c r="M25" i="7"/>
  <c r="M28" i="7" s="1"/>
  <c r="AG87" i="1" s="1"/>
  <c r="O96" i="7"/>
  <c r="H30" i="7" l="1"/>
  <c r="M30" i="7" s="1"/>
  <c r="L36" i="7" s="1"/>
  <c r="AG86" i="1"/>
  <c r="AN87" i="1"/>
  <c r="AR87" i="1" s="1"/>
  <c r="AK25" i="1" l="1"/>
  <c r="AK28" i="1" s="1"/>
  <c r="W30" i="1" s="1"/>
  <c r="AK30" i="1" s="1"/>
  <c r="AK36" i="1" s="1"/>
  <c r="AN86" i="1"/>
  <c r="AN91" i="1" s="1"/>
  <c r="AG91" i="1"/>
</calcChain>
</file>

<file path=xl/sharedStrings.xml><?xml version="1.0" encoding="utf-8"?>
<sst xmlns="http://schemas.openxmlformats.org/spreadsheetml/2006/main" count="701" uniqueCount="290">
  <si>
    <t>False</t>
  </si>
  <si>
    <t>0,01</t>
  </si>
  <si>
    <t>15</t>
  </si>
  <si>
    <t>SOUHRNNÝ LIST STAVBY</t>
  </si>
  <si>
    <t>0,001</t>
  </si>
  <si>
    <t>Kód:</t>
  </si>
  <si>
    <t>0100</t>
  </si>
  <si>
    <t>Stavba:</t>
  </si>
  <si>
    <t>0,1</t>
  </si>
  <si>
    <t>JKSO:</t>
  </si>
  <si>
    <t/>
  </si>
  <si>
    <t>CC-CZ:</t>
  </si>
  <si>
    <t>1</t>
  </si>
  <si>
    <t>Místo:</t>
  </si>
  <si>
    <t>Chrudim</t>
  </si>
  <si>
    <t>Datum:</t>
  </si>
  <si>
    <t>10</t>
  </si>
  <si>
    <t>100</t>
  </si>
  <si>
    <t>Objednatel: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</si>
  <si>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</si>
  <si>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</si>
  <si>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</si>
  <si>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</si>
  <si>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</si>
  <si>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</si>
  <si>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</si>
  <si>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</si>
  <si>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</si>
  <si>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</si>
  <si>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</si>
  <si>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</si>
  <si>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</si>
  <si>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</si>
  <si>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</si>
  <si>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</si>
  <si>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</si>
  <si>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</si>
  <si>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</si>
  <si>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</si>
  <si>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</si>
  <si>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</si>
  <si>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</si>
  <si>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</si>
  <si>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</si>
  <si>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</si>
  <si>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</si>
  <si>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</si>
  <si>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Kód</t>
  </si>
  <si>
    <t>Objekt</t>
  </si>
  <si>
    <t>Cena bez DPH [CZK]</t>
  </si>
  <si>
    <t>Cena s DPH [CZK]</t>
  </si>
  <si>
    <t>1) Náklady z rozpočtů</t>
  </si>
  <si>
    <t>D</t>
  </si>
  <si>
    <t>0</t>
  </si>
  <si>
    <t>IMPORT</t>
  </si>
  <si>
    <t>{f0fa886d-ca0f-4278-b478-77d57021ecba}</t>
  </si>
  <si>
    <t>{00000000-0000-0000-0000-000000000000}</t>
  </si>
  <si>
    <t>KRYCÍ LIST ROZPOČTU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</si>
  <si>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</si>
  <si>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</si>
  <si>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</si>
  <si>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</si>
  <si>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</si>
  <si>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</si>
  <si>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</si>
  <si>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</si>
  <si>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</si>
  <si>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</si>
  <si>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>ROZPOČET</t>
  </si>
  <si>
    <t>PČ</t>
  </si>
  <si>
    <t>Typ</t>
  </si>
  <si>
    <t>Popis</t>
  </si>
  <si>
    <t>MJ</t>
  </si>
  <si>
    <t>Množství</t>
  </si>
  <si>
    <t>K</t>
  </si>
  <si>
    <t>m2</t>
  </si>
  <si>
    <t>m</t>
  </si>
  <si>
    <t>kus</t>
  </si>
  <si>
    <t>t</t>
  </si>
  <si>
    <t>Jedn.</t>
  </si>
  <si>
    <t>Celkem</t>
  </si>
  <si>
    <t>Cena [CZK]</t>
  </si>
  <si>
    <t>Hmotnost_x000D_ [t]</t>
  </si>
  <si>
    <t>Suť [t]</t>
  </si>
  <si>
    <t xml:space="preserve">    998 - Přesun hmot</t>
  </si>
  <si>
    <t>kpl</t>
  </si>
  <si>
    <t xml:space="preserve">    997 - Přesun hmot</t>
  </si>
  <si>
    <t>113108305R00</t>
  </si>
  <si>
    <t>Odstranění asfaltové vrstvy pl.do 50 m2, tl. 5 cm - ručně okolo obrubníku</t>
  </si>
  <si>
    <t>Řezání spáry v asfaltu nebo betonu v tloušťce vrstvy do 5 cm</t>
  </si>
  <si>
    <t>460030081R00</t>
  </si>
  <si>
    <t>919731121R00</t>
  </si>
  <si>
    <t>Zarovnání styčné plochy živičné tl. do 5 cm</t>
  </si>
  <si>
    <t xml:space="preserve">    VRN - Vedlejší rozpočtové náklady</t>
  </si>
  <si>
    <t>Zařízení staveniště</t>
  </si>
  <si>
    <t>Geodetické práce - vytyčení inženýrských sítí</t>
  </si>
  <si>
    <t>Geodetické práce - vytyčení stavby</t>
  </si>
  <si>
    <t>Geodetické práce - skutečné zaměření</t>
  </si>
  <si>
    <t>BOZP - lávky, přejezdy, páska a oplocení</t>
  </si>
  <si>
    <t>Hutnící zkouška</t>
  </si>
  <si>
    <t>919726213R00</t>
  </si>
  <si>
    <t>Těsnění spár krytu letišť zálivkou za tepla</t>
  </si>
  <si>
    <t>979990103R00</t>
  </si>
  <si>
    <t>Poplatek za uložení suti - beton, skupina odpadu 170101</t>
  </si>
  <si>
    <t>979990112R00</t>
  </si>
  <si>
    <t>Poplatek za uložení suti - obal. kamenivo, asfalt, skupina odpadu 170302</t>
  </si>
  <si>
    <t>979087212R00</t>
  </si>
  <si>
    <t>Nakládání suti na dopravní prostředky</t>
  </si>
  <si>
    <t>979091221R00</t>
  </si>
  <si>
    <t>Vodorovné přemístění suti za každý další 1 km</t>
  </si>
  <si>
    <t>979091211R00</t>
  </si>
  <si>
    <t>Vodorovné přemístění suti do 7 km</t>
  </si>
  <si>
    <t>919794441R00</t>
  </si>
  <si>
    <t>113202111R00</t>
  </si>
  <si>
    <t>915491211R00</t>
  </si>
  <si>
    <t>Osazení vodicího proužku do MC,podkl.C12/15, 25 cm</t>
  </si>
  <si>
    <t>ks</t>
  </si>
  <si>
    <t>998225111R00</t>
  </si>
  <si>
    <t>Přesun hmot, pozemní komunikace, kryt živičný</t>
  </si>
  <si>
    <t>917832111R00</t>
  </si>
  <si>
    <t>Osazení stojat. obrub. bet.bez opěry,lože z C12/15</t>
  </si>
  <si>
    <t>M</t>
  </si>
  <si>
    <t>obrubník betonový silniční 100x150x250 cm</t>
  </si>
  <si>
    <t>113151319R00</t>
  </si>
  <si>
    <t>Fréz.živič.krytu nad 500 m2, s překážkami, tl.10cm</t>
  </si>
  <si>
    <t>etapa 1</t>
  </si>
  <si>
    <t>etapa 2</t>
  </si>
  <si>
    <t>979024441R00</t>
  </si>
  <si>
    <t>573231127R00</t>
  </si>
  <si>
    <t>Postřik spojovací z KAE, množství zbytkového asfaltu 0,7 kg/m2</t>
  </si>
  <si>
    <t>577132111R00</t>
  </si>
  <si>
    <t>577152123R00</t>
  </si>
  <si>
    <t>572753111R00</t>
  </si>
  <si>
    <t>Vyrovnání povrchu/podkladu krytů asfaltovým betonem</t>
  </si>
  <si>
    <r>
      <t>Vytrhání obrub obrubníků silničních -</t>
    </r>
    <r>
      <rPr>
        <sz val="8"/>
        <color rgb="FF0000FF"/>
        <rFont val="Trebuchet MS"/>
        <family val="2"/>
        <charset val="238"/>
      </rPr>
      <t xml:space="preserve"> </t>
    </r>
    <r>
      <rPr>
        <b/>
        <sz val="8"/>
        <color rgb="FF0000FF"/>
        <rFont val="Trebuchet MS"/>
        <family val="2"/>
        <charset val="238"/>
      </rPr>
      <t>žulový krajník</t>
    </r>
  </si>
  <si>
    <r>
      <t xml:space="preserve">Vytrhání obrub obrubníků silničních - </t>
    </r>
    <r>
      <rPr>
        <b/>
        <sz val="8"/>
        <color rgb="FF0000FF"/>
        <rFont val="Trebuchet MS"/>
        <family val="2"/>
        <charset val="238"/>
      </rPr>
      <t>silniční obrubníky</t>
    </r>
  </si>
  <si>
    <r>
      <t xml:space="preserve">Vytrhání obrub obrubníků silničních - </t>
    </r>
    <r>
      <rPr>
        <b/>
        <sz val="8"/>
        <color rgb="FF0000FF"/>
        <rFont val="Trebuchet MS"/>
        <family val="2"/>
        <charset val="238"/>
      </rPr>
      <t>přídlažba šířky 250mm</t>
    </r>
  </si>
  <si>
    <t>obrubník betonový silniční přejezdný 100x150x150 cm</t>
  </si>
  <si>
    <t>918101111R00</t>
  </si>
  <si>
    <t>POZNÁMKA:</t>
  </si>
  <si>
    <t>Oprava části asfaltového povrchu MK v ulici Na Ostrově v Chrudimi</t>
  </si>
  <si>
    <t>etapa 1 - OBRUBNÍK</t>
  </si>
  <si>
    <t>etapa 2 - OBRUBNÍK</t>
  </si>
  <si>
    <t>etapa 3</t>
  </si>
  <si>
    <r>
      <t>Výšková úprava vstupu do 20 cm, zvýšení/snížení mříže</t>
    </r>
    <r>
      <rPr>
        <b/>
        <sz val="8"/>
        <color rgb="FF0000FF"/>
        <rFont val="Trebuchet MS"/>
        <family val="2"/>
        <charset val="238"/>
      </rPr>
      <t xml:space="preserve"> - uliční vpusť</t>
    </r>
  </si>
  <si>
    <t>899232111R00</t>
  </si>
  <si>
    <t>899332111R00</t>
  </si>
  <si>
    <r>
      <t>Výšková úprava vstupu do 20 cm, zvýšení/snížení poklopu</t>
    </r>
    <r>
      <rPr>
        <b/>
        <sz val="8"/>
        <color rgb="FF0000FF"/>
        <rFont val="Trebuchet MS"/>
        <family val="2"/>
        <charset val="238"/>
      </rPr>
      <t xml:space="preserve"> - poklop kanalizační šachty</t>
    </r>
  </si>
  <si>
    <t>Úprava ploch kolem vstupů inženýrských sítí v podkladních nezpevněných vstvách ŠD/beton do 1 m2</t>
  </si>
  <si>
    <t>etapa 3 - OBRUBNÍK</t>
  </si>
  <si>
    <t xml:space="preserve">    VRN - Vedlejší rozpočtové náklady - ETAPA 1, 2 a 3</t>
  </si>
  <si>
    <t>Oprava části asfaltového povrchu MK v ulici Na Ostrově v Chrudimi - ČÁST 2</t>
  </si>
  <si>
    <t>113151314R00</t>
  </si>
  <si>
    <t>Fréz.živič.krytu nad 500 m2, s překážkami, tl.5 cm</t>
  </si>
  <si>
    <t>Odstranění asfaltové vrstvy pl.do 50 m2, tl. 10 cm - ručně okolo obrubníku</t>
  </si>
  <si>
    <t>113108310R00</t>
  </si>
  <si>
    <t>etapa 1 - NAVÝŠENÍ</t>
  </si>
  <si>
    <t>etapa 2 - NAVÝŠENÍ</t>
  </si>
  <si>
    <t>navýšení 2,5%</t>
  </si>
  <si>
    <t>Beton asfalt. ACL 16+ ložný, š. do 3 m, tl. 5 cm</t>
  </si>
  <si>
    <t>Beton asfalt. ACO 11+,nebo ACO 16+,do 3 m, tl.5 cm</t>
  </si>
  <si>
    <t>MK v ulici Na Ostrově v Chrudimi - ČÁST 2</t>
  </si>
  <si>
    <t>23x0,1</t>
  </si>
  <si>
    <t>(7+119)x0,1</t>
  </si>
  <si>
    <t>etapa 3 - NAVÝŠENÍ</t>
  </si>
  <si>
    <t>118x0,25</t>
  </si>
  <si>
    <t>137x0,25</t>
  </si>
  <si>
    <t>(47,5+394)-(118*0,25)</t>
  </si>
  <si>
    <t>(47,5+463)-(23x0,1)-(118x0,25)</t>
  </si>
  <si>
    <t>573-((7+119)x0,1)-(137x0,25)</t>
  </si>
  <si>
    <t>118x0,1+3x0,5</t>
  </si>
  <si>
    <t>118x0,1+7x0,5</t>
  </si>
  <si>
    <t>137x0,1+9x0,5</t>
  </si>
  <si>
    <t>177-(118x0,1+3x0,5)</t>
  </si>
  <si>
    <t>177-(118x0,1+7x0,5)</t>
  </si>
  <si>
    <t>206-(137x0,1+9x0,5)</t>
  </si>
  <si>
    <t>118</t>
  </si>
  <si>
    <t>118+23x0,1</t>
  </si>
  <si>
    <t>137+7x0,1</t>
  </si>
  <si>
    <t>95-10</t>
  </si>
  <si>
    <t>95-2</t>
  </si>
  <si>
    <t>47,5+394+177</t>
  </si>
  <si>
    <t>47,5+463+177</t>
  </si>
  <si>
    <t>573+206</t>
  </si>
  <si>
    <t>177+3x0,5</t>
  </si>
  <si>
    <t>177+7x0,5</t>
  </si>
  <si>
    <t>206+9x0,5</t>
  </si>
  <si>
    <t>118+95</t>
  </si>
  <si>
    <t>118+23x0,1+95</t>
  </si>
  <si>
    <t>Lože pod obrubníky nebo obruby dlažeb z C 12/15 - navýšení</t>
  </si>
  <si>
    <t>564861111R00</t>
  </si>
  <si>
    <t>Podklad ze štěrkodrti po zhutnění tloušťky 20 cm</t>
  </si>
  <si>
    <t>Před relizací je potřeba dořešit na místě stavby rozsah prací výměnu pásků a betonových obrubníků.</t>
  </si>
  <si>
    <t>DIO - dopravně inženýrské při realizaci stavby</t>
  </si>
  <si>
    <t>564831111R00</t>
  </si>
  <si>
    <t>Podklad ze štěrkodrti po zhutnění tloušťky 10 cm</t>
  </si>
  <si>
    <t>177x0,5</t>
  </si>
  <si>
    <t>26+2x95+5,5</t>
  </si>
  <si>
    <t>118+10+23x0,1</t>
  </si>
  <si>
    <t>118+8+4</t>
  </si>
  <si>
    <t>118+5</t>
  </si>
  <si>
    <t>(118+8+4)x0,25x0,1+(118+95)x0,25x0,05</t>
  </si>
  <si>
    <t>(118+23x0,1+6+7)x0,25x0,1+(118+23x0,1+95)x0,25x0,05</t>
  </si>
  <si>
    <t>Betonová přídlažba 50 x 25 x 10 cm přírodní</t>
  </si>
  <si>
    <t>118+23x0,1+6+7</t>
  </si>
  <si>
    <t>(137+7x0,1)x0,25x0,1+(137+7x0,1)x0,25x0,05</t>
  </si>
  <si>
    <t>206x0,5</t>
  </si>
  <si>
    <t>5,5+95+5,5+118</t>
  </si>
  <si>
    <t>5,5+12,7+5,5+137,3</t>
  </si>
  <si>
    <t>Celkové náklady za stavbu</t>
  </si>
  <si>
    <t>obrubník betonový silniční přechodový L/P</t>
  </si>
  <si>
    <t>121101101R00</t>
  </si>
  <si>
    <t>Sejmutí ornice s přemístěním do 50 m</t>
  </si>
  <si>
    <t>m3</t>
  </si>
  <si>
    <t>122202201R00</t>
  </si>
  <si>
    <t>Odkopávky pro silnice v hor. 3 do 100 m3</t>
  </si>
  <si>
    <t>2,4x(1+3+1)x0,15</t>
  </si>
  <si>
    <t>2,4x(0,5+3+0,5)</t>
  </si>
  <si>
    <t>2,4x(0,5+3+0,5)*0,3</t>
  </si>
  <si>
    <t>181101111R00</t>
  </si>
  <si>
    <t>Úprava pláně v zářezech se zhutněním - ručně</t>
  </si>
  <si>
    <t>OBRUBNÍK PARKOVÝ 100 / 8 / 25</t>
  </si>
  <si>
    <t>2,4x2+3</t>
  </si>
  <si>
    <t>2,4x3</t>
  </si>
  <si>
    <t>596215021R00</t>
  </si>
  <si>
    <t>Kladení zámkové dlažby tl. 6 cm do drtě tl. 4 cm</t>
  </si>
  <si>
    <t>Zámková betonová dlažba PARKETA 6cm šedá</t>
  </si>
  <si>
    <t>Zámková betonová dlažba PARKETA 6cm červená BEZBARIÉROVOST</t>
  </si>
  <si>
    <t>CHODNík - etapa 2 - nový</t>
  </si>
  <si>
    <t>171102102R00</t>
  </si>
  <si>
    <t>Uložení sypaniny do násypů, zhutn, na 96% PS</t>
  </si>
  <si>
    <t>2,4x(0,5+0,5)*0,3</t>
  </si>
  <si>
    <t>181006112R00</t>
  </si>
  <si>
    <t>Rozprostření zemin v rov./sklonu 1:5, tl. do 15 cm</t>
  </si>
  <si>
    <t>167101101R00</t>
  </si>
  <si>
    <t>Nakládání výkopku z hor. 1 ÷ 4 v množství do 100 m3</t>
  </si>
  <si>
    <t>162701105R00</t>
  </si>
  <si>
    <t>Vodorovné přemístění výkopku z hor.1-4 do 10000 m</t>
  </si>
  <si>
    <t>162701109R00</t>
  </si>
  <si>
    <t>Příplatek k vod. přemístění hor.1-4 za další 1 km</t>
  </si>
  <si>
    <t>Poplatek za skládku zemina/kameni</t>
  </si>
  <si>
    <t>113106231R00</t>
  </si>
  <si>
    <t>Rozebrání dlažeb ze zámkové dlažby v kamenivu</t>
  </si>
  <si>
    <t>113107510R00</t>
  </si>
  <si>
    <t>Odstranění podkladu pl. 50 m2,kam.drcené tl.10 cm</t>
  </si>
  <si>
    <t>CHODNík - etapa 2 - stávající</t>
  </si>
  <si>
    <r>
      <t>Očištění vybour. obrubníků všech loží a výplní</t>
    </r>
    <r>
      <rPr>
        <b/>
        <sz val="8"/>
        <color rgb="FF0000FF"/>
        <rFont val="Trebuchet MS"/>
        <family val="2"/>
        <charset val="238"/>
      </rPr>
      <t xml:space="preserve"> a včetně odvezení na skládku města Chrudim do 1km - žulový krajník</t>
    </r>
  </si>
  <si>
    <t>979999973R00</t>
  </si>
  <si>
    <t>Poplatek za uložení, zemina a kamení, (skup.170504)</t>
  </si>
  <si>
    <t>V ceně realizace musí být započteny všechna práce spojené s technologií např. čištění ploch, atd…</t>
  </si>
  <si>
    <t>132201210R00</t>
  </si>
  <si>
    <t>Hloubení rýh š.do 200 cm hor.3 do 50 m3,STROJNĚ</t>
  </si>
  <si>
    <t>etapa 2 - ÚV3</t>
  </si>
  <si>
    <t>(1,0x1,5x1,5)x2+0,8x2,5x1,5</t>
  </si>
  <si>
    <t>132201219R00</t>
  </si>
  <si>
    <t>Přípl.za lepivost,hloubení rýh 200cm,hor.3,STROJNĚ</t>
  </si>
  <si>
    <t>895941111R00</t>
  </si>
  <si>
    <t>Zřízení vpusti uliční z dílců typ UV - 50 normální</t>
  </si>
  <si>
    <t>899211113R00</t>
  </si>
  <si>
    <t>DEMONTÁŽ - Osazení mříží litinových s rámem do 150 kg</t>
  </si>
  <si>
    <t>Osazení mříží litinových s rámem do 150 kg</t>
  </si>
  <si>
    <t>Vytrhání obrub obrubníků silničních - pod mříží jsou žulové krajníky cca. 30cm včetně očištěnbí a odvezení na skládku unvestora do 2km</t>
  </si>
  <si>
    <t>uliční vpusť - horní TBV - Q 450/295/5b</t>
  </si>
  <si>
    <t>Osazení skruže horní</t>
  </si>
  <si>
    <t>Osazení vyrovnávacího prstence</t>
  </si>
  <si>
    <t>uliční vpusť - vyrovnávací prstenec TBV - Q 390/60/10a</t>
  </si>
  <si>
    <t>899623151R00</t>
  </si>
  <si>
    <t>Obetonování potrubí nebo zdiva stok betonem C16/20 - obetonování horní skruže včetně vytvoření bloku kolem z důvodu uchycení čtvercové plné mříže</t>
  </si>
  <si>
    <t>Osazení mříží litinových s rámem do 150 kg včetně kotvení a zabetonování</t>
  </si>
  <si>
    <t>litinový poklop 500x500 D400 - plný</t>
  </si>
  <si>
    <t>uliční vpusť - horní TBV - Q 450/570/5d</t>
  </si>
  <si>
    <t>uliční vpusť - dno s výtokem pro DN 150 TBV - Q 450/330/1a</t>
  </si>
  <si>
    <t>452311141R00</t>
  </si>
  <si>
    <t>Desky podkladní pod potrubí z betonu C 16/20</t>
  </si>
  <si>
    <t>0,75x0,75x0,2</t>
  </si>
  <si>
    <t>871313121R00</t>
  </si>
  <si>
    <t>Montáž trub kanaliz. z plastu, hrdlových, DN 150</t>
  </si>
  <si>
    <t>Trubka kanalizační KG SN4 – DN150/1000mm</t>
  </si>
  <si>
    <t>Vývrt do skruže pro potrubí DN150 včetně utěsnění</t>
  </si>
  <si>
    <t>451541111R00</t>
  </si>
  <si>
    <t>Lože pod potrubí ze štěrkodrtě 0 - 63 mm včetně obsypu</t>
  </si>
  <si>
    <t>(1,0x1,5x(0,2+0,15+0,3))x2+0,8x2,5x(0,2+0,15+0,3)</t>
  </si>
  <si>
    <t>174101101R00</t>
  </si>
  <si>
    <t>Zásyp jam, rýh, šachet se zhutněním</t>
  </si>
  <si>
    <t>štěrkodrť 0-32 nebo 0-63</t>
  </si>
  <si>
    <t>(1,0x1,5)x2+0,8x2,5</t>
  </si>
  <si>
    <t>7</t>
  </si>
  <si>
    <t>etapa 2 - ÚV31</t>
  </si>
  <si>
    <t>(1,5+2,5+0,1)x0,1</t>
  </si>
  <si>
    <t>(1,0x1,5)x2+0,8x2,5-(1,5+2,5+0,1)x0,1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</si>
</sst>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11"/>
      <name val="Calibri"/>
      <family val="2"/>
    </font>
    <font>
      <sz val="8"/>
      <name val="Trebuchet MS"/>
      <family val="2"/>
    </font>
    <font>
      <sz val="9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b/>
      <sz val="16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b/>
      <sz val="8"/>
      <color indexed="12"/>
      <name val="Trebuchet MS"/>
      <family val="2"/>
      <charset val="238"/>
    </font>
    <font>
      <sz val="5"/>
      <name val="Trebuchet MS"/>
      <family val="2"/>
    </font>
    <font>
      <sz val="12"/>
      <name val="Trebuchet MS"/>
      <family val="2"/>
    </font>
    <font>
      <sz val="8"/>
      <color rgb="FF969696"/>
      <name val="Trebuchet MS"/>
      <family val="2"/>
    </font>
    <font>
      <sz val="10"/>
      <color rgb="FF003366"/>
      <name val="Trebuchet MS"/>
      <family val="2"/>
    </font>
    <font>
      <sz val="9"/>
      <color rgb="FF969696"/>
      <name val="Trebuchet MS"/>
      <family val="2"/>
    </font>
    <font>
      <sz val="10"/>
      <color rgb="FF464646"/>
      <name val="Trebuchet MS"/>
      <family val="2"/>
    </font>
    <font>
      <b/>
      <sz val="10"/>
      <color rgb="FF464646"/>
      <name val="Trebuchet MS"/>
      <family val="2"/>
    </font>
    <font>
      <sz val="10"/>
      <color rgb="FF969696"/>
      <name val="Trebuchet MS"/>
      <family val="2"/>
    </font>
    <font>
      <b/>
      <sz val="12"/>
      <color rgb="FF960000"/>
      <name val="Trebuchet MS"/>
      <family val="2"/>
    </font>
    <font>
      <b/>
      <sz val="11"/>
      <color rgb="FF003366"/>
      <name val="Trebuchet MS"/>
      <family val="2"/>
    </font>
    <font>
      <sz val="11"/>
      <color rgb="FF003366"/>
      <name val="Trebuchet MS"/>
      <family val="2"/>
    </font>
    <font>
      <b/>
      <sz val="10"/>
      <color rgb="FF003366"/>
      <name val="Trebuchet MS"/>
      <family val="2"/>
      <charset val="238"/>
    </font>
    <font>
      <b/>
      <sz val="12"/>
      <color rgb="FF800000"/>
      <name val="Trebuchet MS"/>
      <family val="2"/>
    </font>
    <font>
      <sz val="8"/>
      <color rgb="FF0000FF"/>
      <name val="Trebuchet MS"/>
      <family val="2"/>
    </font>
    <font>
      <b/>
      <sz val="8"/>
      <color rgb="FF969696"/>
      <name val="Trebuchet MS"/>
      <family val="2"/>
    </font>
    <font>
      <sz val="8"/>
      <color rgb="FF3366FF"/>
      <name val="Trebuchet MS"/>
      <family val="2"/>
    </font>
    <font>
      <b/>
      <sz val="8"/>
      <color rgb="FF003366"/>
      <name val="Trebuchet MS"/>
      <family val="2"/>
      <charset val="238"/>
    </font>
    <font>
      <b/>
      <i/>
      <sz val="8"/>
      <color rgb="FF0000FF"/>
      <name val="Trebuchet MS"/>
      <family val="2"/>
      <charset val="238"/>
    </font>
    <font>
      <sz val="11"/>
      <name val="Calibri"/>
      <family val="2"/>
    </font>
    <font>
      <sz val="8"/>
      <color rgb="FF0000FF"/>
      <name val="Trebuchet MS"/>
      <family val="2"/>
      <charset val="238"/>
    </font>
    <font>
      <b/>
      <sz val="8"/>
      <color rgb="FF0000FF"/>
      <name val="Trebuchet MS"/>
      <family val="2"/>
      <charset val="238"/>
    </font>
    <font>
      <b/>
      <sz val="5"/>
      <color rgb="FF003366"/>
      <name val="Trebuchet MS"/>
      <family val="2"/>
    </font>
    <font>
      <b/>
      <u/>
      <sz val="8"/>
      <name val="Trebuchet MS"/>
      <family val="2"/>
      <charset val="238"/>
    </font>
    <font>
      <sz val="18"/>
      <name val="Trebuchet MS"/>
      <family val="2"/>
    </font>
    <font>
      <b/>
      <sz val="9"/>
      <color rgb="FF0000FF"/>
      <name val="Trebuchet MS"/>
      <family val="2"/>
      <charset val="238"/>
    </font>
    <font>
      <b/>
      <sz val="12"/>
      <color rgb="FF0000CC"/>
      <name val="Trebuchet MS"/>
      <family val="2"/>
      <charset val="238"/>
    </font>
    <font>
      <b/>
      <sz val="9"/>
      <color rgb="FF003366"/>
      <name val="Trebuchet MS"/>
      <family val="2"/>
      <charset val="238"/>
    </font>
    <font>
      <b/>
      <sz val="9"/>
      <color rgb="FF960000"/>
      <name val="Trebuchet MS"/>
      <family val="2"/>
      <charset val="238"/>
    </font>
    <font>
      <b/>
      <sz val="9"/>
      <name val="Trebuchet M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969696"/>
      </left>
      <right/>
      <top style="dotted">
        <color rgb="FF969696"/>
      </top>
      <bottom/>
      <diagonal/>
    </border>
    <border>
      <left/>
      <right/>
      <top style="dotted">
        <color rgb="FF969696"/>
      </top>
      <bottom/>
      <diagonal/>
    </border>
    <border>
      <left/>
      <right style="dotted">
        <color rgb="FF969696"/>
      </right>
      <top style="dotted">
        <color rgb="FF969696"/>
      </top>
      <bottom/>
      <diagonal/>
    </border>
    <border>
      <left style="dotted">
        <color rgb="FF969696"/>
      </left>
      <right/>
      <top/>
      <bottom/>
      <diagonal/>
    </border>
    <border>
      <left/>
      <right style="dotted">
        <color rgb="FF969696"/>
      </right>
      <top/>
      <bottom/>
      <diagonal/>
    </border>
    <border>
      <left style="dotted">
        <color rgb="FF969696"/>
      </left>
      <right/>
      <top/>
      <bottom style="dotted">
        <color rgb="FF969696"/>
      </bottom>
      <diagonal/>
    </border>
    <border>
      <left/>
      <right/>
      <top/>
      <bottom style="dotted">
        <color rgb="FF969696"/>
      </bottom>
      <diagonal/>
    </border>
    <border>
      <left/>
      <right style="dotted">
        <color rgb="FF969696"/>
      </right>
      <top/>
      <bottom style="dotted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FF"/>
      </top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8" fillId="0" borderId="0"/>
  </cellStyleXfs>
  <cellXfs count="383">
    <xf numFmtId="0" fontId="1" fillId="0" borderId="0" xfId="0" applyFont="1"/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" fillId="0" borderId="12" xfId="0" applyFont="1" applyBorder="1"/>
    <xf numFmtId="0" fontId="15" fillId="0" borderId="0" xfId="0" applyFont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3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/>
    <xf numFmtId="0" fontId="1" fillId="0" borderId="20" xfId="0" applyFont="1" applyBorder="1"/>
    <xf numFmtId="0" fontId="17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17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3" borderId="15" xfId="0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6" fontId="12" fillId="0" borderId="0" xfId="0" applyNumberFormat="1" applyFont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3" fontId="1" fillId="0" borderId="0" xfId="0" applyNumberFormat="1" applyFont="1" applyAlignment="1" applyProtection="1">
      <alignment vertical="center"/>
      <protection locked="0"/>
    </xf>
    <xf numFmtId="167" fontId="12" fillId="0" borderId="0" xfId="0" applyNumberFormat="1" applyFont="1" applyAlignment="1">
      <alignment vertical="center"/>
    </xf>
    <xf numFmtId="167" fontId="1" fillId="0" borderId="1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/>
    </xf>
    <xf numFmtId="167" fontId="1" fillId="0" borderId="3" xfId="0" applyNumberFormat="1" applyFont="1" applyBorder="1" applyAlignment="1">
      <alignment vertical="center"/>
    </xf>
    <xf numFmtId="167" fontId="1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1" fillId="0" borderId="0" xfId="0" applyFont="1" applyAlignment="1">
      <alignment horizontal="left"/>
    </xf>
    <xf numFmtId="3" fontId="1" fillId="0" borderId="8" xfId="0" applyNumberFormat="1" applyFont="1" applyBorder="1"/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1" fillId="0" borderId="20" xfId="0" applyNumberFormat="1" applyFont="1" applyBorder="1"/>
    <xf numFmtId="3" fontId="1" fillId="0" borderId="23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7" fillId="0" borderId="22" xfId="0" applyNumberFormat="1" applyFont="1" applyBorder="1" applyAlignment="1">
      <alignment horizontal="left" vertical="center"/>
    </xf>
    <xf numFmtId="3" fontId="1" fillId="0" borderId="22" xfId="0" applyNumberFormat="1" applyFont="1" applyBorder="1" applyAlignment="1">
      <alignment vertical="center"/>
    </xf>
    <xf numFmtId="167" fontId="2" fillId="4" borderId="1" xfId="0" applyNumberFormat="1" applyFont="1" applyFill="1" applyBorder="1" applyAlignment="1">
      <alignment horizontal="center" vertical="center" wrapText="1"/>
    </xf>
    <xf numFmtId="0" fontId="21" fillId="0" borderId="10" xfId="0" applyFont="1" applyBorder="1"/>
    <xf numFmtId="0" fontId="21" fillId="0" borderId="0" xfId="0" applyFont="1"/>
    <xf numFmtId="0" fontId="11" fillId="0" borderId="0" xfId="0" applyFont="1" applyAlignment="1">
      <alignment vertical="center"/>
    </xf>
    <xf numFmtId="4" fontId="1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21" fillId="0" borderId="11" xfId="0" applyFont="1" applyBorder="1"/>
    <xf numFmtId="0" fontId="1" fillId="0" borderId="27" xfId="0" applyFont="1" applyBorder="1" applyAlignment="1">
      <alignment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18" fillId="0" borderId="0" xfId="0" applyNumberFormat="1" applyFont="1"/>
    <xf numFmtId="3" fontId="21" fillId="0" borderId="0" xfId="0" applyNumberFormat="1" applyFont="1"/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1" xfId="0" applyFont="1" applyBorder="1" applyAlignment="1">
      <alignment vertical="center"/>
    </xf>
    <xf numFmtId="3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167" fontId="9" fillId="0" borderId="28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vertical="center"/>
    </xf>
    <xf numFmtId="3" fontId="3" fillId="3" borderId="15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vertical="center"/>
    </xf>
    <xf numFmtId="167" fontId="23" fillId="0" borderId="0" xfId="0" applyNumberFormat="1" applyFont="1" applyAlignment="1">
      <alignment vertical="center"/>
    </xf>
    <xf numFmtId="0" fontId="26" fillId="0" borderId="0" xfId="0" applyFont="1"/>
    <xf numFmtId="0" fontId="26" fillId="0" borderId="31" xfId="0" applyFont="1" applyBorder="1"/>
    <xf numFmtId="4" fontId="21" fillId="0" borderId="0" xfId="0" applyNumberFormat="1" applyFont="1" applyAlignment="1">
      <alignment horizontal="left"/>
    </xf>
    <xf numFmtId="0" fontId="26" fillId="0" borderId="33" xfId="0" applyFont="1" applyBorder="1"/>
    <xf numFmtId="0" fontId="1" fillId="0" borderId="3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>
      <alignment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4" fontId="1" fillId="5" borderId="2" xfId="0" applyNumberFormat="1" applyFont="1" applyFill="1" applyBorder="1" applyAlignment="1" applyProtection="1">
      <alignment vertical="center"/>
      <protection locked="0"/>
    </xf>
    <xf numFmtId="4" fontId="1" fillId="5" borderId="3" xfId="0" applyNumberFormat="1" applyFont="1" applyFill="1" applyBorder="1" applyAlignment="1" applyProtection="1">
      <alignment vertical="center"/>
      <protection locked="0"/>
    </xf>
    <xf numFmtId="3" fontId="1" fillId="0" borderId="12" xfId="0" applyNumberFormat="1" applyFont="1" applyBorder="1"/>
    <xf numFmtId="4" fontId="1" fillId="5" borderId="1" xfId="0" applyNumberFormat="1" applyFont="1" applyFill="1" applyBorder="1" applyAlignment="1">
      <alignment vertical="center"/>
    </xf>
    <xf numFmtId="4" fontId="1" fillId="5" borderId="2" xfId="0" applyNumberFormat="1" applyFont="1" applyFill="1" applyBorder="1" applyAlignment="1">
      <alignment vertical="center"/>
    </xf>
    <xf numFmtId="4" fontId="1" fillId="5" borderId="3" xfId="0" applyNumberFormat="1" applyFont="1" applyFill="1" applyBorder="1" applyAlignment="1">
      <alignment vertical="center"/>
    </xf>
    <xf numFmtId="4" fontId="1" fillId="5" borderId="4" xfId="0" applyNumberFormat="1" applyFont="1" applyFill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49" fontId="23" fillId="0" borderId="30" xfId="0" applyNumberFormat="1" applyFont="1" applyBorder="1" applyAlignment="1" applyProtection="1">
      <alignment horizontal="left" vertical="center" wrapText="1"/>
      <protection locked="0"/>
    </xf>
    <xf numFmtId="49" fontId="1" fillId="0" borderId="28" xfId="0" applyNumberFormat="1" applyFont="1" applyBorder="1" applyAlignment="1" applyProtection="1">
      <alignment horizontal="left" vertical="center"/>
      <protection locked="0"/>
    </xf>
    <xf numFmtId="49" fontId="23" fillId="0" borderId="30" xfId="0" applyNumberFormat="1" applyFont="1" applyBorder="1" applyAlignment="1" applyProtection="1">
      <alignment horizontal="right" vertical="center"/>
      <protection locked="0"/>
    </xf>
    <xf numFmtId="167" fontId="23" fillId="0" borderId="32" xfId="0" applyNumberFormat="1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1" fillId="5" borderId="1" xfId="0" applyNumberFormat="1" applyFont="1" applyFill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1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10" xfId="0" applyFont="1" applyBorder="1" applyAlignment="1" applyProtection="1">
      <alignment vertical="center"/>
      <protection locked="0"/>
    </xf>
    <xf numFmtId="4" fontId="23" fillId="0" borderId="0" xfId="0" applyNumberFormat="1" applyFont="1" applyAlignment="1" applyProtection="1">
      <alignment vertical="center"/>
      <protection locked="0"/>
    </xf>
    <xf numFmtId="3" fontId="23" fillId="0" borderId="0" xfId="0" applyNumberFormat="1" applyFont="1" applyAlignment="1" applyProtection="1">
      <alignment vertical="center"/>
      <protection locked="0"/>
    </xf>
    <xf numFmtId="49" fontId="23" fillId="0" borderId="0" xfId="0" applyNumberFormat="1" applyFont="1" applyAlignment="1">
      <alignment horizontal="right" vertical="center"/>
    </xf>
    <xf numFmtId="49" fontId="23" fillId="0" borderId="30" xfId="0" applyNumberFormat="1" applyFont="1" applyBorder="1" applyAlignment="1" applyProtection="1">
      <alignment horizontal="left" vertical="center"/>
      <protection locked="0"/>
    </xf>
    <xf numFmtId="49" fontId="23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35" xfId="0" applyNumberFormat="1" applyFont="1" applyBorder="1" applyAlignment="1" applyProtection="1">
      <alignment vertical="center"/>
      <protection locked="0"/>
    </xf>
    <xf numFmtId="3" fontId="1" fillId="0" borderId="35" xfId="0" applyNumberFormat="1" applyFont="1" applyBorder="1" applyAlignment="1" applyProtection="1">
      <alignment vertical="center"/>
      <protection locked="0"/>
    </xf>
    <xf numFmtId="4" fontId="1" fillId="0" borderId="0" xfId="0" applyNumberFormat="1" applyFont="1" applyAlignment="1">
      <alignment vertical="center"/>
    </xf>
    <xf numFmtId="167" fontId="27" fillId="0" borderId="4" xfId="0" applyNumberFormat="1" applyFont="1" applyBorder="1" applyAlignment="1">
      <alignment vertical="center"/>
    </xf>
    <xf numFmtId="4" fontId="27" fillId="5" borderId="4" xfId="0" applyNumberFormat="1" applyFont="1" applyFill="1" applyBorder="1" applyAlignment="1">
      <alignment vertical="center"/>
    </xf>
    <xf numFmtId="166" fontId="27" fillId="0" borderId="4" xfId="0" applyNumberFormat="1" applyFont="1" applyBorder="1" applyAlignment="1">
      <alignment vertical="center"/>
    </xf>
    <xf numFmtId="3" fontId="27" fillId="0" borderId="4" xfId="0" applyNumberFormat="1" applyFont="1" applyBorder="1" applyAlignment="1" applyProtection="1">
      <alignment vertical="center"/>
      <protection locked="0"/>
    </xf>
    <xf numFmtId="167" fontId="1" fillId="0" borderId="34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166" fontId="1" fillId="0" borderId="34" xfId="0" applyNumberFormat="1" applyFont="1" applyBorder="1" applyAlignment="1">
      <alignment vertical="center"/>
    </xf>
    <xf numFmtId="0" fontId="31" fillId="0" borderId="0" xfId="0" applyFont="1"/>
    <xf numFmtId="0" fontId="10" fillId="0" borderId="10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 applyProtection="1">
      <alignment vertical="center"/>
      <protection locked="0"/>
    </xf>
    <xf numFmtId="166" fontId="1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  <protection locked="0"/>
    </xf>
    <xf numFmtId="49" fontId="23" fillId="0" borderId="0" xfId="0" applyNumberFormat="1" applyFont="1" applyAlignment="1" applyProtection="1">
      <alignment horizontal="left" vertical="center"/>
      <protection locked="0"/>
    </xf>
    <xf numFmtId="166" fontId="12" fillId="0" borderId="35" xfId="0" applyNumberFormat="1" applyFont="1" applyBorder="1" applyAlignment="1">
      <alignment vertical="center"/>
    </xf>
    <xf numFmtId="167" fontId="12" fillId="0" borderId="35" xfId="0" applyNumberFormat="1" applyFont="1" applyBorder="1" applyAlignment="1">
      <alignment vertical="center"/>
    </xf>
    <xf numFmtId="167" fontId="1" fillId="7" borderId="1" xfId="0" applyNumberFormat="1" applyFont="1" applyFill="1" applyBorder="1" applyAlignment="1">
      <alignment vertical="center"/>
    </xf>
    <xf numFmtId="4" fontId="23" fillId="0" borderId="32" xfId="0" applyNumberFormat="1" applyFont="1" applyBorder="1" applyAlignment="1" applyProtection="1">
      <alignment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" fontId="1" fillId="0" borderId="4" xfId="0" applyNumberFormat="1" applyFont="1" applyBorder="1" applyAlignment="1">
      <alignment vertical="center"/>
    </xf>
    <xf numFmtId="4" fontId="1" fillId="5" borderId="4" xfId="0" applyNumberFormat="1" applyFont="1" applyFill="1" applyBorder="1" applyAlignment="1" applyProtection="1">
      <alignment vertical="center"/>
      <protection locked="0"/>
    </xf>
    <xf numFmtId="0" fontId="1" fillId="0" borderId="31" xfId="0" applyFont="1" applyBorder="1"/>
    <xf numFmtId="0" fontId="1" fillId="0" borderId="33" xfId="0" applyFont="1" applyBorder="1"/>
    <xf numFmtId="167" fontId="27" fillId="0" borderId="1" xfId="0" applyNumberFormat="1" applyFont="1" applyBorder="1" applyAlignment="1">
      <alignment vertical="center"/>
    </xf>
    <xf numFmtId="4" fontId="27" fillId="5" borderId="1" xfId="0" applyNumberFormat="1" applyFont="1" applyFill="1" applyBorder="1" applyAlignment="1">
      <alignment vertical="center"/>
    </xf>
    <xf numFmtId="3" fontId="27" fillId="0" borderId="1" xfId="0" applyNumberFormat="1" applyFont="1" applyBorder="1" applyAlignment="1">
      <alignment vertical="center"/>
    </xf>
    <xf numFmtId="166" fontId="27" fillId="0" borderId="1" xfId="0" applyNumberFormat="1" applyFont="1" applyBorder="1" applyAlignment="1">
      <alignment vertical="center"/>
    </xf>
    <xf numFmtId="4" fontId="27" fillId="5" borderId="2" xfId="0" applyNumberFormat="1" applyFont="1" applyFill="1" applyBorder="1" applyAlignment="1">
      <alignment vertical="center"/>
    </xf>
    <xf numFmtId="3" fontId="27" fillId="0" borderId="2" xfId="0" applyNumberFormat="1" applyFont="1" applyBorder="1" applyAlignment="1" applyProtection="1">
      <alignment vertical="center"/>
      <protection locked="0"/>
    </xf>
    <xf numFmtId="166" fontId="27" fillId="0" borderId="2" xfId="0" applyNumberFormat="1" applyFont="1" applyBorder="1" applyAlignment="1">
      <alignment vertical="center"/>
    </xf>
    <xf numFmtId="167" fontId="27" fillId="0" borderId="2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4" fontId="34" fillId="0" borderId="0" xfId="0" applyNumberFormat="1" applyFont="1" applyAlignment="1">
      <alignment horizontal="center" vertical="center"/>
    </xf>
    <xf numFmtId="4" fontId="23" fillId="0" borderId="0" xfId="0" applyNumberFormat="1" applyFont="1" applyAlignment="1" applyProtection="1">
      <alignment vertical="center" wrapText="1"/>
      <protection locked="0"/>
    </xf>
    <xf numFmtId="49" fontId="23" fillId="0" borderId="32" xfId="0" applyNumberFormat="1" applyFont="1" applyBorder="1" applyAlignment="1" applyProtection="1">
      <alignment vertical="center"/>
      <protection locked="0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4" fontId="23" fillId="0" borderId="30" xfId="0" applyNumberFormat="1" applyFont="1" applyBorder="1" applyAlignment="1" applyProtection="1">
      <alignment horizontal="right" vertical="center"/>
      <protection locked="0"/>
    </xf>
    <xf numFmtId="4" fontId="23" fillId="0" borderId="32" xfId="0" applyNumberFormat="1" applyFont="1" applyBorder="1" applyAlignment="1" applyProtection="1">
      <alignment horizontal="right" vertical="center"/>
      <protection locked="0"/>
    </xf>
    <xf numFmtId="4" fontId="23" fillId="0" borderId="0" xfId="0" applyNumberFormat="1" applyFont="1" applyAlignment="1" applyProtection="1">
      <alignment horizontal="right" vertical="center"/>
      <protection locked="0"/>
    </xf>
    <xf numFmtId="4" fontId="27" fillId="0" borderId="2" xfId="0" applyNumberFormat="1" applyFont="1" applyBorder="1" applyAlignment="1" applyProtection="1">
      <alignment vertical="center"/>
      <protection locked="0"/>
    </xf>
    <xf numFmtId="4" fontId="27" fillId="0" borderId="4" xfId="0" applyNumberFormat="1" applyFont="1" applyBorder="1" applyAlignment="1" applyProtection="1">
      <alignment vertical="center"/>
      <protection locked="0"/>
    </xf>
    <xf numFmtId="4" fontId="27" fillId="0" borderId="3" xfId="0" applyNumberFormat="1" applyFont="1" applyBorder="1" applyAlignment="1" applyProtection="1">
      <alignment vertical="center"/>
      <protection locked="0"/>
    </xf>
    <xf numFmtId="4" fontId="27" fillId="5" borderId="3" xfId="0" applyNumberFormat="1" applyFont="1" applyFill="1" applyBorder="1" applyAlignment="1">
      <alignment vertical="center"/>
    </xf>
    <xf numFmtId="3" fontId="27" fillId="0" borderId="3" xfId="0" applyNumberFormat="1" applyFont="1" applyBorder="1" applyAlignment="1" applyProtection="1">
      <alignment vertical="center"/>
      <protection locked="0"/>
    </xf>
    <xf numFmtId="166" fontId="27" fillId="0" borderId="3" xfId="0" applyNumberFormat="1" applyFont="1" applyBorder="1" applyAlignment="1">
      <alignment vertical="center"/>
    </xf>
    <xf numFmtId="167" fontId="27" fillId="0" borderId="3" xfId="0" applyNumberFormat="1" applyFont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167" fontId="1" fillId="8" borderId="36" xfId="0" applyNumberFormat="1" applyFont="1" applyFill="1" applyBorder="1" applyAlignment="1">
      <alignment vertical="center"/>
    </xf>
    <xf numFmtId="167" fontId="1" fillId="5" borderId="2" xfId="0" applyNumberFormat="1" applyFont="1" applyFill="1" applyBorder="1" applyAlignment="1">
      <alignment vertical="center"/>
    </xf>
    <xf numFmtId="4" fontId="35" fillId="0" borderId="0" xfId="0" applyNumberFormat="1" applyFont="1" applyAlignment="1">
      <alignment horizontal="center" vertical="center"/>
    </xf>
    <xf numFmtId="3" fontId="27" fillId="0" borderId="3" xfId="0" applyNumberFormat="1" applyFont="1" applyBorder="1" applyAlignment="1">
      <alignment vertical="center"/>
    </xf>
    <xf numFmtId="3" fontId="27" fillId="0" borderId="4" xfId="0" applyNumberFormat="1" applyFont="1" applyBorder="1" applyAlignment="1">
      <alignment vertical="center"/>
    </xf>
    <xf numFmtId="167" fontId="36" fillId="0" borderId="0" xfId="0" applyNumberFormat="1" applyFont="1"/>
    <xf numFmtId="0" fontId="36" fillId="0" borderId="0" xfId="0" applyFont="1"/>
    <xf numFmtId="167" fontId="37" fillId="0" borderId="0" xfId="0" applyNumberFormat="1" applyFont="1"/>
    <xf numFmtId="0" fontId="38" fillId="0" borderId="0" xfId="0" applyFont="1" applyAlignment="1">
      <alignment vertical="center"/>
    </xf>
    <xf numFmtId="49" fontId="23" fillId="0" borderId="32" xfId="0" applyNumberFormat="1" applyFont="1" applyBorder="1" applyAlignment="1">
      <alignment horizontal="right" vertical="center"/>
    </xf>
    <xf numFmtId="49" fontId="23" fillId="0" borderId="32" xfId="0" applyNumberFormat="1" applyFont="1" applyBorder="1" applyAlignment="1" applyProtection="1">
      <alignment vertical="center" wrapText="1"/>
      <protection locked="0"/>
    </xf>
    <xf numFmtId="49" fontId="23" fillId="0" borderId="30" xfId="0" applyNumberFormat="1" applyFont="1" applyBorder="1" applyAlignment="1">
      <alignment horizontal="right" vertical="center"/>
    </xf>
    <xf numFmtId="49" fontId="23" fillId="0" borderId="30" xfId="0" applyNumberFormat="1" applyFont="1" applyBorder="1" applyAlignment="1" applyProtection="1">
      <alignment vertical="center"/>
      <protection locked="0"/>
    </xf>
    <xf numFmtId="49" fontId="23" fillId="0" borderId="30" xfId="0" applyNumberFormat="1" applyFont="1" applyBorder="1" applyAlignment="1" applyProtection="1">
      <alignment vertical="center" wrapText="1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vertical="center" wrapText="1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49" fontId="27" fillId="0" borderId="4" xfId="0" applyNumberFormat="1" applyFont="1" applyBorder="1" applyAlignment="1" applyProtection="1">
      <alignment horizontal="left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1" fillId="0" borderId="28" xfId="0" applyNumberFormat="1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49" fontId="23" fillId="0" borderId="0" xfId="0" applyNumberFormat="1" applyFont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30" xfId="0" applyFont="1" applyBorder="1" applyAlignment="1">
      <alignment horizontal="left" vertical="center" wrapText="1"/>
    </xf>
    <xf numFmtId="0" fontId="27" fillId="0" borderId="2" xfId="0" applyFont="1" applyBorder="1" applyAlignment="1" applyProtection="1">
      <alignment horizontal="center" vertical="center"/>
      <protection locked="0"/>
    </xf>
    <xf numFmtId="49" fontId="27" fillId="0" borderId="2" xfId="0" applyNumberFormat="1" applyFont="1" applyBorder="1" applyAlignment="1" applyProtection="1">
      <alignment horizontal="left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49" fontId="27" fillId="0" borderId="3" xfId="0" applyNumberFormat="1" applyFont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left" vertical="center"/>
    </xf>
    <xf numFmtId="0" fontId="27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3" fontId="3" fillId="2" borderId="15" xfId="0" applyNumberFormat="1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vertical="center"/>
    </xf>
    <xf numFmtId="3" fontId="1" fillId="2" borderId="29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3" fontId="18" fillId="3" borderId="0" xfId="0" applyNumberFormat="1" applyFont="1" applyFill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vertical="center"/>
    </xf>
    <xf numFmtId="3" fontId="1" fillId="0" borderId="0" xfId="0" applyNumberFormat="1" applyFont="1"/>
    <xf numFmtId="0" fontId="1" fillId="0" borderId="0" xfId="0" applyFont="1" applyAlignment="1" applyProtection="1">
      <alignment horizontal="left" vertical="center" wrapText="1"/>
      <protection locked="0"/>
    </xf>
    <xf numFmtId="49" fontId="23" fillId="0" borderId="0" xfId="0" applyNumberFormat="1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7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 wrapText="1"/>
    </xf>
    <xf numFmtId="0" fontId="27" fillId="0" borderId="2" xfId="0" applyFont="1" applyBorder="1" applyAlignment="1" applyProtection="1">
      <alignment horizontal="left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49" fontId="23" fillId="0" borderId="32" xfId="0" applyNumberFormat="1" applyFont="1" applyBorder="1" applyAlignment="1" applyProtection="1">
      <alignment horizontal="left" vertical="center" wrapText="1"/>
      <protection locked="0"/>
    </xf>
    <xf numFmtId="49" fontId="23" fillId="0" borderId="30" xfId="0" applyNumberFormat="1" applyFont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18" fillId="3" borderId="0" xfId="0" applyNumberFormat="1" applyFont="1" applyFill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3" fontId="13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3" fontId="3" fillId="3" borderId="15" xfId="0" applyNumberFormat="1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vertical="center"/>
    </xf>
    <xf numFmtId="3" fontId="1" fillId="3" borderId="29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/>
  <colors>
    <mruColors>
      <color rgb="FF66FF66"/>
      <color rgb="FF0000CC"/>
      <color rgb="FF0000FF"/>
      <color rgb="FF66CCFF"/>
      <color rgb="FF92D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BD92"/>
  <sheetViews>
    <sheetView showGridLines="0" tabSelected="1" workbookViewId="0">
      <selection activeCell="AN8" sqref="AN8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44" max="44" width="7" customWidth="1"/>
    <col min="45" max="45" width="14.7109375" bestFit="1" customWidth="1"/>
    <col min="51" max="69" width="0" hidden="1" customWidth="1"/>
  </cols>
  <sheetData>
    <row r="1" spans="2:52" ht="36.950000000000003" customHeight="1" x14ac:dyDescent="0.3">
      <c r="C1" s="331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Y1" s="8"/>
      <c r="AZ1" s="8"/>
    </row>
    <row r="2" spans="2:52" ht="6.9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1"/>
      <c r="AY2" s="8" t="s">
        <v>1</v>
      </c>
      <c r="AZ2" s="8" t="s">
        <v>2</v>
      </c>
    </row>
    <row r="3" spans="2:52" ht="36.950000000000003" customHeight="1" x14ac:dyDescent="0.3">
      <c r="B3" s="12"/>
      <c r="C3" s="312" t="s">
        <v>3</v>
      </c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13"/>
      <c r="AY3" s="8" t="s">
        <v>4</v>
      </c>
    </row>
    <row r="4" spans="2:52" ht="14.45" customHeight="1" x14ac:dyDescent="0.3">
      <c r="B4" s="12"/>
      <c r="D4" s="14" t="s">
        <v>5</v>
      </c>
      <c r="K4" s="333" t="s">
        <v>6</v>
      </c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  <c r="AM4" s="332"/>
      <c r="AN4" s="332"/>
      <c r="AO4" s="332"/>
      <c r="AQ4" s="13"/>
      <c r="AY4" s="8" t="s">
        <v>1</v>
      </c>
    </row>
    <row r="5" spans="2:52" ht="36.950000000000003" customHeight="1" x14ac:dyDescent="0.3">
      <c r="B5" s="12"/>
      <c r="D5" s="16" t="s">
        <v>7</v>
      </c>
      <c r="K5" s="334" t="s">
        <v>140</v>
      </c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Q5" s="13"/>
      <c r="AY5" s="8" t="s">
        <v>8</v>
      </c>
    </row>
    <row r="6" spans="2:52" ht="14.45" customHeight="1" x14ac:dyDescent="0.3">
      <c r="B6" s="12"/>
      <c r="D6" s="17" t="s">
        <v>9</v>
      </c>
      <c r="K6" s="15" t="s">
        <v>10</v>
      </c>
      <c r="AK6" s="17" t="s">
        <v>11</v>
      </c>
      <c r="AN6" s="15" t="s">
        <v>10</v>
      </c>
      <c r="AQ6" s="13"/>
      <c r="AY6" s="8" t="s">
        <v>12</v>
      </c>
    </row>
    <row r="7" spans="2:52" ht="14.45" customHeight="1" x14ac:dyDescent="0.3">
      <c r="B7" s="12"/>
      <c r="D7" s="17" t="s">
        <v>13</v>
      </c>
      <c r="K7" s="15" t="s">
        <v>14</v>
      </c>
      <c r="AK7" s="17" t="s">
        <v>15</v>
      </c>
      <c r="AN7" s="130">
        <v>46087</v>
      </c>
      <c r="AQ7" s="13"/>
      <c r="AY7" s="8" t="s">
        <v>16</v>
      </c>
    </row>
    <row r="8" spans="2:52" ht="14.45" customHeight="1" x14ac:dyDescent="0.3">
      <c r="B8" s="12"/>
      <c r="AQ8" s="13"/>
      <c r="AY8" s="8" t="s">
        <v>17</v>
      </c>
    </row>
    <row r="9" spans="2:52" ht="14.45" customHeight="1" x14ac:dyDescent="0.3">
      <c r="B9" s="12"/>
      <c r="D9" s="17" t="s">
        <v>18</v>
      </c>
      <c r="AK9" s="17" t="s">
        <v>19</v>
      </c>
      <c r="AN9" s="15" t="s">
        <v>10</v>
      </c>
      <c r="AQ9" s="13"/>
      <c r="AY9" s="8" t="s">
        <v>8</v>
      </c>
    </row>
    <row r="10" spans="2:52" ht="18.399999999999999" customHeight="1" x14ac:dyDescent="0.3">
      <c r="B10" s="12"/>
      <c r="E10" s="15" t="s">
        <v>20</v>
      </c>
      <c r="AK10" s="17" t="s">
        <v>21</v>
      </c>
      <c r="AN10" s="15" t="s">
        <v>10</v>
      </c>
      <c r="AQ10" s="13"/>
      <c r="AY10" s="8" t="s">
        <v>8</v>
      </c>
    </row>
    <row r="11" spans="2:52" ht="6.95" customHeight="1" x14ac:dyDescent="0.3">
      <c r="B11" s="12"/>
      <c r="AQ11" s="13"/>
      <c r="AY11" s="8" t="s">
        <v>8</v>
      </c>
    </row>
    <row r="12" spans="2:52" ht="14.45" customHeight="1" x14ac:dyDescent="0.3">
      <c r="B12" s="12"/>
      <c r="D12" s="17" t="s">
        <v>22</v>
      </c>
      <c r="AK12" s="17" t="s">
        <v>19</v>
      </c>
      <c r="AN12" s="15" t="s">
        <v>10</v>
      </c>
      <c r="AQ12" s="13"/>
      <c r="AY12" s="8" t="s">
        <v>8</v>
      </c>
    </row>
    <row r="13" spans="2:52" ht="15" x14ac:dyDescent="0.3">
      <c r="B13" s="12"/>
      <c r="E13" s="15" t="s">
        <v>20</v>
      </c>
      <c r="AK13" s="17" t="s">
        <v>21</v>
      </c>
      <c r="AN13" s="15" t="s">
        <v>10</v>
      </c>
      <c r="AQ13" s="13"/>
      <c r="AY13" s="8" t="s">
        <v>8</v>
      </c>
    </row>
    <row r="14" spans="2:52" ht="6.95" customHeight="1" x14ac:dyDescent="0.3">
      <c r="B14" s="12"/>
      <c r="AQ14" s="13"/>
      <c r="AY14" s="8" t="s">
        <v>0</v>
      </c>
    </row>
    <row r="15" spans="2:52" ht="14.45" customHeight="1" x14ac:dyDescent="0.3">
      <c r="B15" s="12"/>
      <c r="D15" s="17" t="s">
        <v>23</v>
      </c>
      <c r="AK15" s="17" t="s">
        <v>19</v>
      </c>
      <c r="AN15" s="15" t="s">
        <v>10</v>
      </c>
      <c r="AQ15" s="13"/>
      <c r="AY15" s="8" t="s">
        <v>0</v>
      </c>
    </row>
    <row r="16" spans="2:52" ht="18.399999999999999" customHeight="1" x14ac:dyDescent="0.3">
      <c r="B16" s="12"/>
      <c r="E16" s="15" t="s">
        <v>20</v>
      </c>
      <c r="AK16" s="17" t="s">
        <v>21</v>
      </c>
      <c r="AN16" s="15" t="s">
        <v>10</v>
      </c>
      <c r="AQ16" s="13"/>
      <c r="AY16" s="8" t="s">
        <v>24</v>
      </c>
    </row>
    <row r="17" spans="2:51" ht="6.95" customHeight="1" x14ac:dyDescent="0.3">
      <c r="B17" s="12"/>
      <c r="AQ17" s="13"/>
      <c r="AY17" s="8" t="s">
        <v>1</v>
      </c>
    </row>
    <row r="18" spans="2:51" ht="14.45" customHeight="1" x14ac:dyDescent="0.3">
      <c r="B18" s="12"/>
      <c r="D18" s="17" t="s">
        <v>25</v>
      </c>
      <c r="AK18" s="17" t="s">
        <v>19</v>
      </c>
      <c r="AN18" s="15" t="s">
        <v>10</v>
      </c>
      <c r="AQ18" s="13"/>
      <c r="AY18" s="8" t="s">
        <v>1</v>
      </c>
    </row>
    <row r="19" spans="2:51" ht="18.399999999999999" customHeight="1" x14ac:dyDescent="0.3">
      <c r="B19" s="12"/>
      <c r="E19" s="15" t="s">
        <v>20</v>
      </c>
      <c r="AK19" s="17" t="s">
        <v>21</v>
      </c>
      <c r="AN19" s="15" t="s">
        <v>10</v>
      </c>
      <c r="AQ19" s="13"/>
    </row>
    <row r="20" spans="2:51" ht="6.95" customHeight="1" x14ac:dyDescent="0.3">
      <c r="B20" s="12"/>
      <c r="AQ20" s="13"/>
    </row>
    <row r="21" spans="2:51" ht="15" x14ac:dyDescent="0.3">
      <c r="B21" s="12"/>
      <c r="D21" s="17" t="s">
        <v>26</v>
      </c>
      <c r="AQ21" s="13"/>
    </row>
    <row r="22" spans="2:51" ht="22.5" customHeight="1" x14ac:dyDescent="0.3">
      <c r="B22" s="12"/>
      <c r="E22" s="335" t="s">
        <v>10</v>
      </c>
      <c r="F22" s="332"/>
      <c r="G22" s="332"/>
      <c r="H22" s="332"/>
      <c r="I22" s="332"/>
      <c r="J22" s="332"/>
      <c r="K22" s="332"/>
      <c r="L22" s="332"/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332"/>
      <c r="AG22" s="332"/>
      <c r="AH22" s="332"/>
      <c r="AI22" s="332"/>
      <c r="AJ22" s="332"/>
      <c r="AK22" s="332"/>
      <c r="AL22" s="332"/>
      <c r="AM22" s="332"/>
      <c r="AN22" s="332"/>
      <c r="AQ22" s="13"/>
    </row>
    <row r="23" spans="2:51" ht="6.95" customHeight="1" x14ac:dyDescent="0.3">
      <c r="B23" s="12"/>
      <c r="AQ23" s="13"/>
    </row>
    <row r="24" spans="2:51" ht="6.95" customHeight="1" x14ac:dyDescent="0.3">
      <c r="B24" s="12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45"/>
      <c r="AL24" s="145"/>
      <c r="AM24" s="145"/>
      <c r="AN24" s="145"/>
      <c r="AO24" s="145"/>
      <c r="AQ24" s="13"/>
    </row>
    <row r="25" spans="2:51" ht="14.45" customHeight="1" x14ac:dyDescent="0.3">
      <c r="B25" s="12"/>
      <c r="D25" s="19" t="s">
        <v>27</v>
      </c>
      <c r="AK25" s="336">
        <f>ROUND(AG86,2)</f>
        <v>0</v>
      </c>
      <c r="AL25" s="337"/>
      <c r="AM25" s="337"/>
      <c r="AN25" s="337"/>
      <c r="AO25" s="337"/>
      <c r="AQ25" s="13"/>
    </row>
    <row r="26" spans="2:51" ht="14.45" customHeight="1" x14ac:dyDescent="0.3">
      <c r="B26" s="12"/>
      <c r="D26" s="19" t="s">
        <v>28</v>
      </c>
      <c r="AK26" s="336">
        <f>ROUND(AG89,2)</f>
        <v>0</v>
      </c>
      <c r="AL26" s="337"/>
      <c r="AM26" s="337"/>
      <c r="AN26" s="337"/>
      <c r="AO26" s="337"/>
      <c r="AQ26" s="13"/>
    </row>
    <row r="27" spans="2:51" s="1" customFormat="1" ht="6.95" customHeight="1" x14ac:dyDescent="0.25">
      <c r="B27" s="20"/>
      <c r="AK27" s="87"/>
      <c r="AL27" s="87"/>
      <c r="AM27" s="87"/>
      <c r="AN27" s="87"/>
      <c r="AO27" s="87"/>
      <c r="AQ27" s="21"/>
    </row>
    <row r="28" spans="2:51" s="1" customFormat="1" ht="25.9" customHeight="1" x14ac:dyDescent="0.25">
      <c r="B28" s="20"/>
      <c r="D28" s="22" t="s">
        <v>29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329">
        <f>ROUND(AK25+AK26,2)</f>
        <v>0</v>
      </c>
      <c r="AL28" s="330"/>
      <c r="AM28" s="330"/>
      <c r="AN28" s="330"/>
      <c r="AO28" s="330"/>
      <c r="AQ28" s="21"/>
    </row>
    <row r="29" spans="2:51" s="1" customFormat="1" ht="6.95" customHeight="1" x14ac:dyDescent="0.25">
      <c r="B29" s="20"/>
      <c r="AK29" s="87"/>
      <c r="AL29" s="87"/>
      <c r="AM29" s="87"/>
      <c r="AN29" s="87"/>
      <c r="AO29" s="87"/>
      <c r="AQ29" s="21"/>
    </row>
    <row r="30" spans="2:51" s="2" customFormat="1" ht="14.45" customHeight="1" x14ac:dyDescent="0.25">
      <c r="B30" s="24"/>
      <c r="D30" s="25" t="s">
        <v>30</v>
      </c>
      <c r="F30" s="25" t="s">
        <v>31</v>
      </c>
      <c r="L30" s="324">
        <v>0.21</v>
      </c>
      <c r="M30" s="325"/>
      <c r="N30" s="325"/>
      <c r="O30" s="325"/>
      <c r="T30" s="26" t="s">
        <v>32</v>
      </c>
      <c r="W30" s="327">
        <f>AK28</f>
        <v>0</v>
      </c>
      <c r="X30" s="328"/>
      <c r="Y30" s="328"/>
      <c r="Z30" s="328"/>
      <c r="AA30" s="328"/>
      <c r="AB30" s="328"/>
      <c r="AC30" s="328"/>
      <c r="AD30" s="328"/>
      <c r="AE30" s="328"/>
      <c r="AK30" s="327">
        <f>W30*L30</f>
        <v>0</v>
      </c>
      <c r="AL30" s="328"/>
      <c r="AM30" s="328"/>
      <c r="AN30" s="328"/>
      <c r="AO30" s="328"/>
      <c r="AQ30" s="27"/>
    </row>
    <row r="31" spans="2:51" s="2" customFormat="1" ht="14.45" customHeight="1" x14ac:dyDescent="0.25">
      <c r="B31" s="24"/>
      <c r="F31" s="25" t="s">
        <v>33</v>
      </c>
      <c r="L31" s="324">
        <v>0.12</v>
      </c>
      <c r="M31" s="325"/>
      <c r="N31" s="325"/>
      <c r="O31" s="325"/>
      <c r="T31" s="26" t="s">
        <v>32</v>
      </c>
      <c r="W31" s="326"/>
      <c r="X31" s="325"/>
      <c r="Y31" s="325"/>
      <c r="Z31" s="325"/>
      <c r="AA31" s="325"/>
      <c r="AB31" s="325"/>
      <c r="AC31" s="325"/>
      <c r="AD31" s="325"/>
      <c r="AE31" s="325"/>
      <c r="AK31" s="327"/>
      <c r="AL31" s="328"/>
      <c r="AM31" s="328"/>
      <c r="AN31" s="328"/>
      <c r="AO31" s="328"/>
      <c r="AQ31" s="27"/>
    </row>
    <row r="32" spans="2:51" s="2" customFormat="1" ht="14.45" hidden="1" customHeight="1" x14ac:dyDescent="0.25">
      <c r="B32" s="24"/>
      <c r="F32" s="25" t="s">
        <v>34</v>
      </c>
      <c r="L32" s="324">
        <v>0.21</v>
      </c>
      <c r="M32" s="325"/>
      <c r="N32" s="325"/>
      <c r="O32" s="325"/>
      <c r="T32" s="26" t="s">
        <v>32</v>
      </c>
      <c r="W32" s="326" t="e">
        <f>ROUND(#REF!+SUM(BL90:BL90),2)</f>
        <v>#REF!</v>
      </c>
      <c r="X32" s="325"/>
      <c r="Y32" s="325"/>
      <c r="Z32" s="325"/>
      <c r="AA32" s="325"/>
      <c r="AB32" s="325"/>
      <c r="AC32" s="325"/>
      <c r="AD32" s="325"/>
      <c r="AE32" s="325"/>
      <c r="AK32" s="327">
        <v>0</v>
      </c>
      <c r="AL32" s="328"/>
      <c r="AM32" s="328"/>
      <c r="AN32" s="328"/>
      <c r="AO32" s="328"/>
      <c r="AQ32" s="27"/>
    </row>
    <row r="33" spans="2:43" s="2" customFormat="1" ht="14.45" hidden="1" customHeight="1" x14ac:dyDescent="0.25">
      <c r="B33" s="24"/>
      <c r="F33" s="25" t="s">
        <v>35</v>
      </c>
      <c r="L33" s="324">
        <v>0.15</v>
      </c>
      <c r="M33" s="325"/>
      <c r="N33" s="325"/>
      <c r="O33" s="325"/>
      <c r="T33" s="26" t="s">
        <v>32</v>
      </c>
      <c r="W33" s="326" t="e">
        <f>ROUND(#REF!+SUM(BM90:BM90),2)</f>
        <v>#REF!</v>
      </c>
      <c r="X33" s="325"/>
      <c r="Y33" s="325"/>
      <c r="Z33" s="325"/>
      <c r="AA33" s="325"/>
      <c r="AB33" s="325"/>
      <c r="AC33" s="325"/>
      <c r="AD33" s="325"/>
      <c r="AE33" s="325"/>
      <c r="AK33" s="327">
        <v>0</v>
      </c>
      <c r="AL33" s="328"/>
      <c r="AM33" s="328"/>
      <c r="AN33" s="328"/>
      <c r="AO33" s="328"/>
      <c r="AQ33" s="27"/>
    </row>
    <row r="34" spans="2:43" s="2" customFormat="1" ht="14.45" hidden="1" customHeight="1" x14ac:dyDescent="0.25">
      <c r="B34" s="24"/>
      <c r="F34" s="25" t="s">
        <v>36</v>
      </c>
      <c r="L34" s="324">
        <v>0</v>
      </c>
      <c r="M34" s="325"/>
      <c r="N34" s="325"/>
      <c r="O34" s="325"/>
      <c r="T34" s="26" t="s">
        <v>32</v>
      </c>
      <c r="W34" s="326" t="e">
        <f>ROUND(#REF!+SUM(BN90:BN90),2)</f>
        <v>#REF!</v>
      </c>
      <c r="X34" s="325"/>
      <c r="Y34" s="325"/>
      <c r="Z34" s="325"/>
      <c r="AA34" s="325"/>
      <c r="AB34" s="325"/>
      <c r="AC34" s="325"/>
      <c r="AD34" s="325"/>
      <c r="AE34" s="325"/>
      <c r="AK34" s="327">
        <v>0</v>
      </c>
      <c r="AL34" s="328"/>
      <c r="AM34" s="328"/>
      <c r="AN34" s="328"/>
      <c r="AO34" s="328"/>
      <c r="AQ34" s="27"/>
    </row>
    <row r="35" spans="2:43" s="1" customFormat="1" ht="6.95" customHeight="1" x14ac:dyDescent="0.25">
      <c r="B35" s="20"/>
      <c r="AK35" s="87"/>
      <c r="AL35" s="87"/>
      <c r="AM35" s="87"/>
      <c r="AN35" s="87"/>
      <c r="AO35" s="87"/>
      <c r="AQ35" s="21"/>
    </row>
    <row r="36" spans="2:43" s="1" customFormat="1" ht="25.9" customHeight="1" x14ac:dyDescent="0.25">
      <c r="B36" s="20"/>
      <c r="D36" s="28" t="s">
        <v>37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0" t="s">
        <v>38</v>
      </c>
      <c r="U36" s="29"/>
      <c r="V36" s="29"/>
      <c r="W36" s="29"/>
      <c r="X36" s="307" t="s">
        <v>39</v>
      </c>
      <c r="Y36" s="308"/>
      <c r="Z36" s="308"/>
      <c r="AA36" s="308"/>
      <c r="AB36" s="308"/>
      <c r="AC36" s="29"/>
      <c r="AD36" s="29"/>
      <c r="AE36" s="29"/>
      <c r="AF36" s="29"/>
      <c r="AG36" s="29"/>
      <c r="AH36" s="29"/>
      <c r="AI36" s="29"/>
      <c r="AJ36" s="29"/>
      <c r="AK36" s="309">
        <f>SUM(AK28:AK34)</f>
        <v>0</v>
      </c>
      <c r="AL36" s="310"/>
      <c r="AM36" s="310"/>
      <c r="AN36" s="310"/>
      <c r="AO36" s="311"/>
      <c r="AQ36" s="21"/>
    </row>
    <row r="37" spans="2:43" s="1" customFormat="1" ht="14.45" customHeight="1" x14ac:dyDescent="0.25">
      <c r="B37" s="20"/>
      <c r="AQ37" s="21"/>
    </row>
    <row r="38" spans="2:43" x14ac:dyDescent="0.3">
      <c r="B38" s="12"/>
      <c r="AQ38" s="13"/>
    </row>
    <row r="39" spans="2:43" x14ac:dyDescent="0.3">
      <c r="B39" s="12"/>
      <c r="AQ39" s="13"/>
    </row>
    <row r="40" spans="2:43" x14ac:dyDescent="0.3">
      <c r="B40" s="12"/>
      <c r="AQ40" s="13"/>
    </row>
    <row r="41" spans="2:43" x14ac:dyDescent="0.3">
      <c r="B41" s="12"/>
      <c r="AQ41" s="13"/>
    </row>
    <row r="42" spans="2:43" x14ac:dyDescent="0.3">
      <c r="B42" s="12"/>
      <c r="AQ42" s="13"/>
    </row>
    <row r="43" spans="2:43" x14ac:dyDescent="0.3">
      <c r="B43" s="12"/>
      <c r="AQ43" s="13"/>
    </row>
    <row r="44" spans="2:43" x14ac:dyDescent="0.3">
      <c r="B44" s="12"/>
      <c r="AQ44" s="13"/>
    </row>
    <row r="45" spans="2:43" x14ac:dyDescent="0.3">
      <c r="B45" s="12"/>
      <c r="AQ45" s="13"/>
    </row>
    <row r="46" spans="2:43" x14ac:dyDescent="0.3">
      <c r="B46" s="12"/>
      <c r="AQ46" s="13"/>
    </row>
    <row r="47" spans="2:43" x14ac:dyDescent="0.3">
      <c r="B47" s="12"/>
      <c r="AQ47" s="13"/>
    </row>
    <row r="48" spans="2:43" s="1" customFormat="1" ht="15" x14ac:dyDescent="0.25">
      <c r="B48" s="20"/>
      <c r="D48" s="31" t="s">
        <v>40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3"/>
      <c r="AC48" s="31" t="s">
        <v>41</v>
      </c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3"/>
      <c r="AQ48" s="21"/>
    </row>
    <row r="49" spans="2:43" x14ac:dyDescent="0.3">
      <c r="B49" s="12"/>
      <c r="D49" s="34"/>
      <c r="Z49" s="35"/>
      <c r="AC49" s="34"/>
      <c r="AO49" s="35"/>
      <c r="AQ49" s="13"/>
    </row>
    <row r="50" spans="2:43" x14ac:dyDescent="0.3">
      <c r="B50" s="12"/>
      <c r="D50" s="34"/>
      <c r="Z50" s="35"/>
      <c r="AC50" s="34"/>
      <c r="AO50" s="35"/>
      <c r="AQ50" s="13"/>
    </row>
    <row r="51" spans="2:43" x14ac:dyDescent="0.3">
      <c r="B51" s="12"/>
      <c r="D51" s="34"/>
      <c r="Z51" s="35"/>
      <c r="AC51" s="34"/>
      <c r="AO51" s="35"/>
      <c r="AQ51" s="13"/>
    </row>
    <row r="52" spans="2:43" x14ac:dyDescent="0.3">
      <c r="B52" s="12"/>
      <c r="D52" s="34"/>
      <c r="Z52" s="35"/>
      <c r="AC52" s="34"/>
      <c r="AO52" s="35"/>
      <c r="AQ52" s="13"/>
    </row>
    <row r="53" spans="2:43" x14ac:dyDescent="0.3">
      <c r="B53" s="12"/>
      <c r="D53" s="34"/>
      <c r="Z53" s="35"/>
      <c r="AC53" s="34"/>
      <c r="AO53" s="35"/>
      <c r="AQ53" s="13"/>
    </row>
    <row r="54" spans="2:43" x14ac:dyDescent="0.3">
      <c r="B54" s="12"/>
      <c r="D54" s="34"/>
      <c r="Z54" s="35"/>
      <c r="AC54" s="34"/>
      <c r="AO54" s="35"/>
      <c r="AQ54" s="13"/>
    </row>
    <row r="55" spans="2:43" x14ac:dyDescent="0.3">
      <c r="B55" s="12"/>
      <c r="D55" s="34"/>
      <c r="Z55" s="35"/>
      <c r="AC55" s="34"/>
      <c r="AO55" s="35"/>
      <c r="AQ55" s="13"/>
    </row>
    <row r="56" spans="2:43" x14ac:dyDescent="0.3">
      <c r="B56" s="12"/>
      <c r="D56" s="34"/>
      <c r="Z56" s="35"/>
      <c r="AC56" s="34"/>
      <c r="AO56" s="35"/>
      <c r="AQ56" s="13"/>
    </row>
    <row r="57" spans="2:43" s="1" customFormat="1" ht="15" x14ac:dyDescent="0.25">
      <c r="B57" s="20"/>
      <c r="D57" s="36" t="s">
        <v>42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8" t="s">
        <v>43</v>
      </c>
      <c r="S57" s="37"/>
      <c r="T57" s="37"/>
      <c r="U57" s="37"/>
      <c r="V57" s="37"/>
      <c r="W57" s="37"/>
      <c r="X57" s="37"/>
      <c r="Y57" s="37"/>
      <c r="Z57" s="39"/>
      <c r="AC57" s="36" t="s">
        <v>42</v>
      </c>
      <c r="AD57" s="37"/>
      <c r="AE57" s="37"/>
      <c r="AF57" s="37"/>
      <c r="AG57" s="37"/>
      <c r="AH57" s="37"/>
      <c r="AI57" s="37"/>
      <c r="AJ57" s="37"/>
      <c r="AK57" s="37"/>
      <c r="AL57" s="37"/>
      <c r="AM57" s="38" t="s">
        <v>43</v>
      </c>
      <c r="AN57" s="37"/>
      <c r="AO57" s="39"/>
      <c r="AQ57" s="21"/>
    </row>
    <row r="58" spans="2:43" x14ac:dyDescent="0.3">
      <c r="B58" s="12"/>
      <c r="AQ58" s="13"/>
    </row>
    <row r="59" spans="2:43" s="1" customFormat="1" ht="15" x14ac:dyDescent="0.25">
      <c r="B59" s="20"/>
      <c r="D59" s="31" t="s">
        <v>44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3"/>
      <c r="AC59" s="31" t="s">
        <v>45</v>
      </c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3"/>
      <c r="AQ59" s="21"/>
    </row>
    <row r="60" spans="2:43" x14ac:dyDescent="0.3">
      <c r="B60" s="12"/>
      <c r="D60" s="34"/>
      <c r="Z60" s="35"/>
      <c r="AC60" s="34"/>
      <c r="AO60" s="35"/>
      <c r="AQ60" s="13"/>
    </row>
    <row r="61" spans="2:43" x14ac:dyDescent="0.3">
      <c r="B61" s="12"/>
      <c r="D61" s="34"/>
      <c r="Z61" s="35"/>
      <c r="AC61" s="34"/>
      <c r="AO61" s="35"/>
      <c r="AQ61" s="13"/>
    </row>
    <row r="62" spans="2:43" x14ac:dyDescent="0.3">
      <c r="B62" s="12"/>
      <c r="D62" s="34"/>
      <c r="Z62" s="35"/>
      <c r="AC62" s="34"/>
      <c r="AO62" s="35"/>
      <c r="AQ62" s="13"/>
    </row>
    <row r="63" spans="2:43" x14ac:dyDescent="0.3">
      <c r="B63" s="12"/>
      <c r="D63" s="34"/>
      <c r="Z63" s="35"/>
      <c r="AC63" s="34"/>
      <c r="AO63" s="35"/>
      <c r="AQ63" s="13"/>
    </row>
    <row r="64" spans="2:43" x14ac:dyDescent="0.3">
      <c r="B64" s="12"/>
      <c r="D64" s="34"/>
      <c r="Z64" s="35"/>
      <c r="AC64" s="34"/>
      <c r="AO64" s="35"/>
      <c r="AQ64" s="13"/>
    </row>
    <row r="65" spans="2:43" x14ac:dyDescent="0.3">
      <c r="B65" s="12"/>
      <c r="D65" s="34"/>
      <c r="Z65" s="35"/>
      <c r="AC65" s="34"/>
      <c r="AO65" s="35"/>
      <c r="AQ65" s="13"/>
    </row>
    <row r="66" spans="2:43" x14ac:dyDescent="0.3">
      <c r="B66" s="12"/>
      <c r="D66" s="34"/>
      <c r="Z66" s="35"/>
      <c r="AC66" s="34"/>
      <c r="AO66" s="35"/>
      <c r="AQ66" s="13"/>
    </row>
    <row r="67" spans="2:43" x14ac:dyDescent="0.3">
      <c r="B67" s="12"/>
      <c r="D67" s="34"/>
      <c r="Z67" s="35"/>
      <c r="AC67" s="34"/>
      <c r="AO67" s="35"/>
      <c r="AQ67" s="13"/>
    </row>
    <row r="68" spans="2:43" s="1" customFormat="1" ht="15" x14ac:dyDescent="0.25">
      <c r="B68" s="20"/>
      <c r="D68" s="36" t="s">
        <v>42</v>
      </c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8" t="s">
        <v>43</v>
      </c>
      <c r="S68" s="37"/>
      <c r="T68" s="37"/>
      <c r="U68" s="37"/>
      <c r="V68" s="37"/>
      <c r="W68" s="37"/>
      <c r="X68" s="37"/>
      <c r="Y68" s="37"/>
      <c r="Z68" s="39"/>
      <c r="AC68" s="36" t="s">
        <v>42</v>
      </c>
      <c r="AD68" s="37"/>
      <c r="AE68" s="37"/>
      <c r="AF68" s="37"/>
      <c r="AG68" s="37"/>
      <c r="AH68" s="37"/>
      <c r="AI68" s="37"/>
      <c r="AJ68" s="37"/>
      <c r="AK68" s="37"/>
      <c r="AL68" s="37"/>
      <c r="AM68" s="38" t="s">
        <v>43</v>
      </c>
      <c r="AN68" s="37"/>
      <c r="AO68" s="39"/>
      <c r="AQ68" s="21"/>
    </row>
    <row r="69" spans="2:43" s="1" customFormat="1" ht="6.95" customHeight="1" x14ac:dyDescent="0.25">
      <c r="B69" s="20"/>
      <c r="AQ69" s="21"/>
    </row>
    <row r="70" spans="2:43" s="1" customFormat="1" ht="6.95" customHeight="1" x14ac:dyDescent="0.25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2"/>
    </row>
    <row r="74" spans="2:43" s="1" customFormat="1" ht="6.95" customHeight="1" x14ac:dyDescent="0.2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5"/>
    </row>
    <row r="75" spans="2:43" s="1" customFormat="1" ht="36.950000000000003" customHeight="1" x14ac:dyDescent="0.25">
      <c r="B75" s="20"/>
      <c r="C75" s="312" t="s">
        <v>46</v>
      </c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21"/>
    </row>
    <row r="76" spans="2:43" s="3" customFormat="1" ht="14.45" customHeight="1" x14ac:dyDescent="0.25">
      <c r="B76" s="46"/>
      <c r="C76" s="17" t="s">
        <v>5</v>
      </c>
      <c r="L76" s="3" t="str">
        <f>K4</f>
        <v>0100</v>
      </c>
      <c r="AQ76" s="47"/>
    </row>
    <row r="77" spans="2:43" s="4" customFormat="1" ht="36.950000000000003" customHeight="1" x14ac:dyDescent="0.25">
      <c r="B77" s="48"/>
      <c r="C77" s="49" t="s">
        <v>7</v>
      </c>
      <c r="L77" s="318" t="str">
        <f>K5</f>
        <v>Oprava části asfaltového povrchu MK v ulici Na Ostrově v Chrudimi</v>
      </c>
      <c r="M77" s="319"/>
      <c r="N77" s="319"/>
      <c r="O77" s="319"/>
      <c r="P77" s="319"/>
      <c r="Q77" s="319"/>
      <c r="R77" s="319"/>
      <c r="S77" s="319"/>
      <c r="T77" s="319"/>
      <c r="U77" s="319"/>
      <c r="V77" s="319"/>
      <c r="W77" s="319"/>
      <c r="X77" s="319"/>
      <c r="Y77" s="319"/>
      <c r="Z77" s="319"/>
      <c r="AA77" s="319"/>
      <c r="AB77" s="319"/>
      <c r="AC77" s="319"/>
      <c r="AD77" s="319"/>
      <c r="AE77" s="319"/>
      <c r="AF77" s="319"/>
      <c r="AG77" s="319"/>
      <c r="AH77" s="319"/>
      <c r="AI77" s="319"/>
      <c r="AJ77" s="319"/>
      <c r="AK77" s="319"/>
      <c r="AL77" s="319"/>
      <c r="AM77" s="319"/>
      <c r="AN77" s="319"/>
      <c r="AO77" s="319"/>
      <c r="AQ77" s="50"/>
    </row>
    <row r="78" spans="2:43" s="1" customFormat="1" ht="6.95" customHeight="1" x14ac:dyDescent="0.25">
      <c r="B78" s="20"/>
      <c r="AQ78" s="21"/>
    </row>
    <row r="79" spans="2:43" s="1" customFormat="1" ht="15" x14ac:dyDescent="0.25">
      <c r="B79" s="20"/>
      <c r="C79" s="17" t="s">
        <v>13</v>
      </c>
      <c r="L79" s="51" t="str">
        <f>IF(K7="","",K7)</f>
        <v>Chrudim</v>
      </c>
      <c r="AI79" s="17" t="s">
        <v>15</v>
      </c>
      <c r="AM79" s="317">
        <f>AN7</f>
        <v>46087</v>
      </c>
      <c r="AN79" s="317"/>
      <c r="AQ79" s="21"/>
    </row>
    <row r="80" spans="2:43" s="1" customFormat="1" ht="6.95" customHeight="1" x14ac:dyDescent="0.25">
      <c r="B80" s="20"/>
      <c r="AQ80" s="21"/>
    </row>
    <row r="81" spans="2:56" s="1" customFormat="1" ht="15" x14ac:dyDescent="0.25">
      <c r="B81" s="20"/>
      <c r="C81" s="17" t="s">
        <v>18</v>
      </c>
      <c r="L81" s="3" t="str">
        <f>IF(E10= "","",E10)</f>
        <v xml:space="preserve"> </v>
      </c>
      <c r="AI81" s="17" t="s">
        <v>23</v>
      </c>
      <c r="AM81" s="305" t="str">
        <f>IF(E16="","",E16)</f>
        <v xml:space="preserve"> </v>
      </c>
      <c r="AN81" s="306"/>
      <c r="AO81" s="306"/>
      <c r="AP81" s="306"/>
      <c r="AQ81" s="21"/>
    </row>
    <row r="82" spans="2:56" s="1" customFormat="1" ht="15" x14ac:dyDescent="0.25">
      <c r="B82" s="20"/>
      <c r="C82" s="17" t="s">
        <v>22</v>
      </c>
      <c r="L82" s="3" t="str">
        <f>IF(E13="","",E13)</f>
        <v xml:space="preserve"> </v>
      </c>
      <c r="AI82" s="17" t="s">
        <v>25</v>
      </c>
      <c r="AM82" s="305" t="str">
        <f>IF(E19="","",E19)</f>
        <v xml:space="preserve"> </v>
      </c>
      <c r="AN82" s="306"/>
      <c r="AO82" s="306"/>
      <c r="AP82" s="306"/>
      <c r="AQ82" s="21"/>
    </row>
    <row r="83" spans="2:56" s="1" customFormat="1" ht="10.9" customHeight="1" x14ac:dyDescent="0.25">
      <c r="B83" s="20"/>
      <c r="AQ83" s="21"/>
    </row>
    <row r="84" spans="2:56" s="1" customFormat="1" ht="29.25" customHeight="1" x14ac:dyDescent="0.25">
      <c r="B84" s="20"/>
      <c r="C84" s="313" t="s">
        <v>47</v>
      </c>
      <c r="D84" s="314"/>
      <c r="E84" s="314"/>
      <c r="F84" s="314"/>
      <c r="G84" s="314"/>
      <c r="H84" s="52"/>
      <c r="I84" s="315" t="s">
        <v>48</v>
      </c>
      <c r="J84" s="314"/>
      <c r="K84" s="314"/>
      <c r="L84" s="314"/>
      <c r="M84" s="314"/>
      <c r="N84" s="314"/>
      <c r="O84" s="314"/>
      <c r="P84" s="314"/>
      <c r="Q84" s="314"/>
      <c r="R84" s="314"/>
      <c r="S84" s="314"/>
      <c r="T84" s="314"/>
      <c r="U84" s="314"/>
      <c r="V84" s="314"/>
      <c r="W84" s="314"/>
      <c r="X84" s="314"/>
      <c r="Y84" s="314"/>
      <c r="Z84" s="314"/>
      <c r="AA84" s="314"/>
      <c r="AB84" s="314"/>
      <c r="AC84" s="314"/>
      <c r="AD84" s="314"/>
      <c r="AE84" s="314"/>
      <c r="AF84" s="314"/>
      <c r="AG84" s="315" t="s">
        <v>49</v>
      </c>
      <c r="AH84" s="314"/>
      <c r="AI84" s="314"/>
      <c r="AJ84" s="314"/>
      <c r="AK84" s="314"/>
      <c r="AL84" s="314"/>
      <c r="AM84" s="314"/>
      <c r="AN84" s="315" t="s">
        <v>50</v>
      </c>
      <c r="AO84" s="314"/>
      <c r="AP84" s="316"/>
      <c r="AQ84" s="21"/>
    </row>
    <row r="85" spans="2:56" s="1" customFormat="1" ht="10.9" customHeight="1" x14ac:dyDescent="0.25">
      <c r="B85" s="20"/>
      <c r="AQ85" s="21"/>
    </row>
    <row r="86" spans="2:56" s="4" customFormat="1" ht="32.450000000000003" customHeight="1" x14ac:dyDescent="0.25">
      <c r="B86" s="48"/>
      <c r="C86" s="53" t="s">
        <v>51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322">
        <f>ROUND(AG87,2)</f>
        <v>0</v>
      </c>
      <c r="AH86" s="322"/>
      <c r="AI86" s="322"/>
      <c r="AJ86" s="322"/>
      <c r="AK86" s="322"/>
      <c r="AL86" s="322"/>
      <c r="AM86" s="322"/>
      <c r="AN86" s="320">
        <f>AG86*1.21</f>
        <v>0</v>
      </c>
      <c r="AO86" s="320"/>
      <c r="AP86" s="320"/>
      <c r="AQ86" s="50"/>
      <c r="AY86" s="49" t="s">
        <v>52</v>
      </c>
      <c r="AZ86" s="49" t="s">
        <v>53</v>
      </c>
      <c r="BB86" s="49" t="s">
        <v>54</v>
      </c>
      <c r="BC86" s="49" t="s">
        <v>55</v>
      </c>
      <c r="BD86" s="49" t="s">
        <v>56</v>
      </c>
    </row>
    <row r="87" spans="2:56" s="5" customFormat="1" ht="23.25" x14ac:dyDescent="0.25">
      <c r="B87" s="55"/>
      <c r="C87" s="56"/>
      <c r="D87" s="302" t="s">
        <v>6</v>
      </c>
      <c r="E87" s="303"/>
      <c r="F87" s="303"/>
      <c r="G87" s="303"/>
      <c r="H87" s="303"/>
      <c r="I87" s="57"/>
      <c r="J87" s="302" t="s">
        <v>161</v>
      </c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4">
        <f>'SO.100 - ČÁST 2'!M28</f>
        <v>0</v>
      </c>
      <c r="AH87" s="304"/>
      <c r="AI87" s="304"/>
      <c r="AJ87" s="304"/>
      <c r="AK87" s="304"/>
      <c r="AL87" s="304"/>
      <c r="AM87" s="304"/>
      <c r="AN87" s="304">
        <f>AG87*1.21</f>
        <v>0</v>
      </c>
      <c r="AO87" s="304"/>
      <c r="AP87" s="304"/>
      <c r="AQ87" s="58"/>
      <c r="AR87" s="234">
        <f>AN87-'SO.100 - ČÁST 2'!L36</f>
        <v>0</v>
      </c>
      <c r="AS87" s="233"/>
      <c r="AZ87" s="59"/>
      <c r="BA87" s="59"/>
      <c r="BB87" s="59"/>
      <c r="BC87" s="59"/>
      <c r="BD87" s="59"/>
    </row>
    <row r="88" spans="2:56" x14ac:dyDescent="0.3">
      <c r="B88" s="12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13"/>
    </row>
    <row r="89" spans="2:56" s="1" customFormat="1" ht="30" customHeight="1" x14ac:dyDescent="0.25">
      <c r="B89" s="20"/>
      <c r="C89" s="53"/>
      <c r="AG89" s="320"/>
      <c r="AH89" s="321"/>
      <c r="AI89" s="321"/>
      <c r="AJ89" s="321"/>
      <c r="AK89" s="321"/>
      <c r="AL89" s="321"/>
      <c r="AM89" s="321"/>
      <c r="AN89" s="320"/>
      <c r="AO89" s="321"/>
      <c r="AP89" s="321"/>
      <c r="AQ89" s="21"/>
    </row>
    <row r="90" spans="2:56" s="1" customFormat="1" ht="10.9" customHeight="1" x14ac:dyDescent="0.25">
      <c r="B90" s="20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21"/>
    </row>
    <row r="91" spans="2:56" s="1" customFormat="1" ht="30" customHeight="1" x14ac:dyDescent="0.25">
      <c r="B91" s="20"/>
      <c r="C91" s="60" t="s">
        <v>209</v>
      </c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323">
        <f>ROUND(AG86+AG89,2)</f>
        <v>0</v>
      </c>
      <c r="AH91" s="323"/>
      <c r="AI91" s="323"/>
      <c r="AJ91" s="323"/>
      <c r="AK91" s="323"/>
      <c r="AL91" s="323"/>
      <c r="AM91" s="323"/>
      <c r="AN91" s="323">
        <f>AN86+AN89</f>
        <v>0</v>
      </c>
      <c r="AO91" s="323"/>
      <c r="AP91" s="323"/>
      <c r="AQ91" s="21"/>
    </row>
    <row r="92" spans="2:56" s="1" customFormat="1" ht="6.95" customHeight="1" x14ac:dyDescent="0.25"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2"/>
    </row>
  </sheetData>
  <mergeCells count="44">
    <mergeCell ref="AK28:AO28"/>
    <mergeCell ref="L30:O30"/>
    <mergeCell ref="W30:AE30"/>
    <mergeCell ref="C1:AP1"/>
    <mergeCell ref="C3:AP3"/>
    <mergeCell ref="K4:AO4"/>
    <mergeCell ref="K5:AO5"/>
    <mergeCell ref="E22:AN22"/>
    <mergeCell ref="AK25:AO25"/>
    <mergeCell ref="AK30:AO30"/>
    <mergeCell ref="AK26:AO26"/>
    <mergeCell ref="L33:O33"/>
    <mergeCell ref="W33:AE33"/>
    <mergeCell ref="AK33:AO33"/>
    <mergeCell ref="L34:O34"/>
    <mergeCell ref="W34:AE34"/>
    <mergeCell ref="AK34:AO34"/>
    <mergeCell ref="L31:O31"/>
    <mergeCell ref="W31:AE31"/>
    <mergeCell ref="AK31:AO31"/>
    <mergeCell ref="L32:O32"/>
    <mergeCell ref="W32:AE32"/>
    <mergeCell ref="AK32:AO32"/>
    <mergeCell ref="AG89:AM89"/>
    <mergeCell ref="AN89:AP89"/>
    <mergeCell ref="AG86:AM86"/>
    <mergeCell ref="AN86:AP86"/>
    <mergeCell ref="AG91:AM91"/>
    <mergeCell ref="AN91:AP91"/>
    <mergeCell ref="X36:AB36"/>
    <mergeCell ref="AK36:AO36"/>
    <mergeCell ref="C75:AP75"/>
    <mergeCell ref="AM82:AP82"/>
    <mergeCell ref="C84:G84"/>
    <mergeCell ref="I84:AF84"/>
    <mergeCell ref="AG84:AM84"/>
    <mergeCell ref="AN84:AP84"/>
    <mergeCell ref="AM79:AN79"/>
    <mergeCell ref="L77:AO77"/>
    <mergeCell ref="D87:H87"/>
    <mergeCell ref="J87:AF87"/>
    <mergeCell ref="AG87:AM87"/>
    <mergeCell ref="AN87:AP87"/>
    <mergeCell ref="AM81:AP81"/>
  </mergeCells>
  <pageMargins left="0.59055118110236227" right="0.59055118110236227" top="0.51181102362204722" bottom="0.47244094488188981" header="0" footer="0"/>
  <pageSetup paperSize="9" scale="73" orientation="portrait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T352"/>
  <sheetViews>
    <sheetView workbookViewId="0">
      <selection activeCell="Z117" sqref="Z117"/>
    </sheetView>
  </sheetViews>
  <sheetFormatPr defaultColWidth="9.28515625" defaultRowHeight="13.5" x14ac:dyDescent="0.3"/>
  <cols>
    <col min="1" max="1" width="8.28515625" customWidth="1"/>
    <col min="2" max="2" width="2.42578125" customWidth="1"/>
    <col min="3" max="3" width="4.140625" customWidth="1"/>
    <col min="4" max="4" width="4.28515625" customWidth="1"/>
    <col min="5" max="5" width="11.28515625" customWidth="1"/>
    <col min="6" max="7" width="11.140625" customWidth="1"/>
    <col min="8" max="8" width="9.85546875" customWidth="1"/>
    <col min="9" max="9" width="4.42578125" customWidth="1"/>
    <col min="10" max="10" width="5.42578125" customWidth="1"/>
    <col min="11" max="11" width="9.28515625" customWidth="1"/>
    <col min="12" max="12" width="8" bestFit="1" customWidth="1"/>
    <col min="13" max="13" width="11.7109375" bestFit="1" customWidth="1"/>
    <col min="14" max="14" width="7.28515625" style="86" bestFit="1" customWidth="1"/>
    <col min="15" max="15" width="9.5703125" style="86" customWidth="1"/>
    <col min="16" max="16" width="7.5703125" style="86" bestFit="1" customWidth="1"/>
    <col min="17" max="17" width="9.28515625" style="86" customWidth="1"/>
    <col min="18" max="18" width="2.140625" customWidth="1"/>
    <col min="19" max="19" width="3.42578125" customWidth="1"/>
  </cols>
  <sheetData>
    <row r="1" spans="2:18" ht="17.25" customHeight="1" x14ac:dyDescent="0.3">
      <c r="C1" s="331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</row>
    <row r="2" spans="2:18" ht="6.9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85"/>
      <c r="O2" s="85"/>
      <c r="P2" s="85"/>
      <c r="Q2" s="85"/>
      <c r="R2" s="11"/>
    </row>
    <row r="3" spans="2:18" ht="36.950000000000003" customHeight="1" x14ac:dyDescent="0.3">
      <c r="B3" s="12"/>
      <c r="C3" s="312" t="s">
        <v>57</v>
      </c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13"/>
    </row>
    <row r="4" spans="2:18" ht="6.95" customHeight="1" x14ac:dyDescent="0.3">
      <c r="B4" s="12"/>
      <c r="R4" s="13"/>
    </row>
    <row r="5" spans="2:18" s="1" customFormat="1" ht="32.85" customHeight="1" x14ac:dyDescent="0.25">
      <c r="B5" s="20"/>
      <c r="D5" s="16" t="s">
        <v>7</v>
      </c>
      <c r="F5" s="334" t="s">
        <v>151</v>
      </c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87"/>
      <c r="R5" s="21"/>
    </row>
    <row r="6" spans="2:18" s="1" customFormat="1" ht="14.45" customHeight="1" x14ac:dyDescent="0.25">
      <c r="B6" s="20"/>
      <c r="D6" s="17" t="s">
        <v>9</v>
      </c>
      <c r="F6" s="15" t="s">
        <v>10</v>
      </c>
      <c r="M6" s="17" t="s">
        <v>11</v>
      </c>
      <c r="N6" s="87"/>
      <c r="O6" s="116" t="s">
        <v>10</v>
      </c>
      <c r="P6" s="87"/>
      <c r="Q6" s="87"/>
      <c r="R6" s="21"/>
    </row>
    <row r="7" spans="2:18" s="1" customFormat="1" ht="14.45" customHeight="1" x14ac:dyDescent="0.25">
      <c r="B7" s="20"/>
      <c r="D7" s="17" t="s">
        <v>13</v>
      </c>
      <c r="F7" s="15" t="s">
        <v>14</v>
      </c>
      <c r="M7" s="17" t="s">
        <v>15</v>
      </c>
      <c r="N7" s="87"/>
      <c r="O7" s="379">
        <f>'Rekapitulace stavby'!AN7</f>
        <v>46087</v>
      </c>
      <c r="P7" s="380"/>
      <c r="Q7" s="87"/>
      <c r="R7" s="21"/>
    </row>
    <row r="8" spans="2:18" s="1" customFormat="1" ht="10.9" customHeight="1" x14ac:dyDescent="0.25">
      <c r="B8" s="20"/>
      <c r="N8" s="87"/>
      <c r="O8" s="87"/>
      <c r="P8" s="87"/>
      <c r="Q8" s="87"/>
      <c r="R8" s="21"/>
    </row>
    <row r="9" spans="2:18" s="1" customFormat="1" ht="14.45" customHeight="1" x14ac:dyDescent="0.25">
      <c r="B9" s="20"/>
      <c r="D9" s="17" t="s">
        <v>18</v>
      </c>
      <c r="M9" s="17" t="s">
        <v>19</v>
      </c>
      <c r="N9" s="87"/>
      <c r="O9" s="378" t="s">
        <v>10</v>
      </c>
      <c r="P9" s="321"/>
      <c r="Q9" s="87"/>
      <c r="R9" s="21"/>
    </row>
    <row r="10" spans="2:18" s="1" customFormat="1" ht="18" customHeight="1" x14ac:dyDescent="0.25">
      <c r="B10" s="20"/>
      <c r="E10" s="15" t="s">
        <v>20</v>
      </c>
      <c r="M10" s="17" t="s">
        <v>21</v>
      </c>
      <c r="N10" s="87"/>
      <c r="O10" s="378" t="s">
        <v>10</v>
      </c>
      <c r="P10" s="321"/>
      <c r="Q10" s="87"/>
      <c r="R10" s="21"/>
    </row>
    <row r="11" spans="2:18" s="1" customFormat="1" ht="6.95" customHeight="1" x14ac:dyDescent="0.25">
      <c r="B11" s="20"/>
      <c r="N11" s="87"/>
      <c r="O11" s="87"/>
      <c r="P11" s="87"/>
      <c r="Q11" s="87"/>
      <c r="R11" s="21"/>
    </row>
    <row r="12" spans="2:18" s="1" customFormat="1" ht="14.45" customHeight="1" x14ac:dyDescent="0.25">
      <c r="B12" s="20"/>
      <c r="D12" s="17" t="s">
        <v>22</v>
      </c>
      <c r="M12" s="17" t="s">
        <v>19</v>
      </c>
      <c r="N12" s="87"/>
      <c r="O12" s="378" t="s">
        <v>10</v>
      </c>
      <c r="P12" s="321"/>
      <c r="Q12" s="87"/>
      <c r="R12" s="21"/>
    </row>
    <row r="13" spans="2:18" s="1" customFormat="1" ht="18" customHeight="1" x14ac:dyDescent="0.25">
      <c r="B13" s="20"/>
      <c r="E13" s="15" t="s">
        <v>20</v>
      </c>
      <c r="M13" s="17" t="s">
        <v>21</v>
      </c>
      <c r="N13" s="87"/>
      <c r="O13" s="378" t="s">
        <v>10</v>
      </c>
      <c r="P13" s="321"/>
      <c r="Q13" s="87"/>
      <c r="R13" s="21"/>
    </row>
    <row r="14" spans="2:18" s="1" customFormat="1" ht="6.95" customHeight="1" x14ac:dyDescent="0.25">
      <c r="B14" s="20"/>
      <c r="N14" s="87"/>
      <c r="O14" s="87"/>
      <c r="P14" s="87"/>
      <c r="Q14" s="87"/>
      <c r="R14" s="21"/>
    </row>
    <row r="15" spans="2:18" s="1" customFormat="1" ht="14.45" customHeight="1" x14ac:dyDescent="0.25">
      <c r="B15" s="20"/>
      <c r="D15" s="17" t="s">
        <v>23</v>
      </c>
      <c r="M15" s="17" t="s">
        <v>19</v>
      </c>
      <c r="N15" s="87"/>
      <c r="O15" s="378" t="s">
        <v>10</v>
      </c>
      <c r="P15" s="321"/>
      <c r="Q15" s="87"/>
      <c r="R15" s="21"/>
    </row>
    <row r="16" spans="2:18" s="1" customFormat="1" ht="18" customHeight="1" x14ac:dyDescent="0.25">
      <c r="B16" s="20"/>
      <c r="E16" s="15" t="s">
        <v>20</v>
      </c>
      <c r="M16" s="17" t="s">
        <v>21</v>
      </c>
      <c r="N16" s="87"/>
      <c r="O16" s="378" t="s">
        <v>10</v>
      </c>
      <c r="P16" s="321"/>
      <c r="Q16" s="87"/>
      <c r="R16" s="21"/>
    </row>
    <row r="17" spans="2:18" s="1" customFormat="1" ht="6.95" customHeight="1" x14ac:dyDescent="0.25">
      <c r="B17" s="20"/>
      <c r="N17" s="87"/>
      <c r="O17" s="87"/>
      <c r="P17" s="87"/>
      <c r="Q17" s="87"/>
      <c r="R17" s="21"/>
    </row>
    <row r="18" spans="2:18" s="1" customFormat="1" ht="14.45" customHeight="1" x14ac:dyDescent="0.25">
      <c r="B18" s="20"/>
      <c r="D18" s="17" t="s">
        <v>25</v>
      </c>
      <c r="M18" s="17" t="s">
        <v>19</v>
      </c>
      <c r="N18" s="87"/>
      <c r="O18" s="378" t="s">
        <v>10</v>
      </c>
      <c r="P18" s="321"/>
      <c r="Q18" s="87"/>
      <c r="R18" s="21"/>
    </row>
    <row r="19" spans="2:18" s="1" customFormat="1" ht="18" customHeight="1" x14ac:dyDescent="0.25">
      <c r="B19" s="20"/>
      <c r="E19" s="15" t="s">
        <v>20</v>
      </c>
      <c r="M19" s="17" t="s">
        <v>21</v>
      </c>
      <c r="N19" s="87"/>
      <c r="O19" s="378" t="s">
        <v>10</v>
      </c>
      <c r="P19" s="321"/>
      <c r="Q19" s="87"/>
      <c r="R19" s="21"/>
    </row>
    <row r="20" spans="2:18" s="1" customFormat="1" ht="6.95" customHeight="1" x14ac:dyDescent="0.25">
      <c r="B20" s="20"/>
      <c r="N20" s="87"/>
      <c r="O20" s="87"/>
      <c r="P20" s="87"/>
      <c r="Q20" s="87"/>
      <c r="R20" s="21"/>
    </row>
    <row r="21" spans="2:18" s="1" customFormat="1" ht="14.45" customHeight="1" x14ac:dyDescent="0.25">
      <c r="B21" s="20"/>
      <c r="D21" s="17" t="s">
        <v>26</v>
      </c>
      <c r="N21" s="87"/>
      <c r="O21" s="87"/>
      <c r="P21" s="87"/>
      <c r="Q21" s="87"/>
      <c r="R21" s="21"/>
    </row>
    <row r="22" spans="2:18" s="1" customFormat="1" ht="22.5" customHeight="1" x14ac:dyDescent="0.25">
      <c r="B22" s="20"/>
      <c r="E22" s="335" t="s">
        <v>10</v>
      </c>
      <c r="F22" s="306"/>
      <c r="G22" s="306"/>
      <c r="H22" s="306"/>
      <c r="I22" s="306"/>
      <c r="J22" s="306"/>
      <c r="K22" s="306"/>
      <c r="L22" s="306"/>
      <c r="N22" s="87"/>
      <c r="O22" s="87"/>
      <c r="P22" s="87"/>
      <c r="Q22" s="87"/>
      <c r="R22" s="21"/>
    </row>
    <row r="23" spans="2:18" s="1" customFormat="1" ht="6.95" customHeight="1" x14ac:dyDescent="0.25">
      <c r="B23" s="20"/>
      <c r="N23" s="87"/>
      <c r="O23" s="87"/>
      <c r="P23" s="87"/>
      <c r="Q23" s="87"/>
      <c r="R23" s="21"/>
    </row>
    <row r="24" spans="2:18" s="1" customFormat="1" ht="6.95" customHeight="1" x14ac:dyDescent="0.25">
      <c r="B24" s="20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88"/>
      <c r="O24" s="88"/>
      <c r="P24" s="88"/>
      <c r="Q24" s="87"/>
      <c r="R24" s="21"/>
    </row>
    <row r="25" spans="2:18" s="1" customFormat="1" ht="14.45" customHeight="1" x14ac:dyDescent="0.25">
      <c r="B25" s="20"/>
      <c r="D25" s="117" t="s">
        <v>58</v>
      </c>
      <c r="H25" s="87"/>
      <c r="I25" s="87"/>
      <c r="J25" s="87"/>
      <c r="K25" s="87"/>
      <c r="L25" s="87"/>
      <c r="M25" s="336">
        <f>O86</f>
        <v>0</v>
      </c>
      <c r="N25" s="321"/>
      <c r="O25" s="321"/>
      <c r="P25" s="321"/>
      <c r="Q25" s="87"/>
      <c r="R25" s="21"/>
    </row>
    <row r="26" spans="2:18" s="1" customFormat="1" ht="14.45" customHeight="1" x14ac:dyDescent="0.25">
      <c r="B26" s="20"/>
      <c r="D26" s="19" t="s">
        <v>59</v>
      </c>
      <c r="H26" s="87"/>
      <c r="I26" s="87"/>
      <c r="J26" s="87"/>
      <c r="K26" s="87"/>
      <c r="L26" s="87"/>
      <c r="M26" s="336">
        <f>O94</f>
        <v>0</v>
      </c>
      <c r="N26" s="321"/>
      <c r="O26" s="321"/>
      <c r="P26" s="321"/>
      <c r="Q26" s="87"/>
      <c r="R26" s="21"/>
    </row>
    <row r="27" spans="2:18" s="1" customFormat="1" ht="6.95" customHeight="1" x14ac:dyDescent="0.25">
      <c r="B27" s="20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21"/>
    </row>
    <row r="28" spans="2:18" s="1" customFormat="1" ht="25.35" customHeight="1" x14ac:dyDescent="0.25">
      <c r="B28" s="20"/>
      <c r="D28" s="118" t="s">
        <v>29</v>
      </c>
      <c r="H28" s="87"/>
      <c r="I28" s="87"/>
      <c r="J28" s="87"/>
      <c r="K28" s="87"/>
      <c r="L28" s="87"/>
      <c r="M28" s="377">
        <f>ROUND(M25+M26,2)</f>
        <v>0</v>
      </c>
      <c r="N28" s="321"/>
      <c r="O28" s="321"/>
      <c r="P28" s="321"/>
      <c r="Q28" s="87"/>
      <c r="R28" s="21"/>
    </row>
    <row r="29" spans="2:18" s="1" customFormat="1" ht="6.95" customHeight="1" x14ac:dyDescent="0.25">
      <c r="B29" s="20"/>
      <c r="D29" s="32"/>
      <c r="E29" s="32"/>
      <c r="F29" s="32"/>
      <c r="G29" s="32"/>
      <c r="H29" s="88"/>
      <c r="I29" s="88"/>
      <c r="J29" s="88"/>
      <c r="K29" s="88"/>
      <c r="L29" s="88"/>
      <c r="M29" s="88"/>
      <c r="N29" s="88"/>
      <c r="O29" s="88"/>
      <c r="P29" s="88"/>
      <c r="Q29" s="87"/>
      <c r="R29" s="21"/>
    </row>
    <row r="30" spans="2:18" s="1" customFormat="1" ht="14.45" customHeight="1" x14ac:dyDescent="0.25">
      <c r="B30" s="20"/>
      <c r="D30" s="25" t="s">
        <v>30</v>
      </c>
      <c r="E30" s="25" t="s">
        <v>31</v>
      </c>
      <c r="F30" s="119">
        <v>0.21</v>
      </c>
      <c r="G30" s="120" t="s">
        <v>32</v>
      </c>
      <c r="H30" s="328">
        <f>M28</f>
        <v>0</v>
      </c>
      <c r="I30" s="321"/>
      <c r="J30" s="321"/>
      <c r="K30" s="87"/>
      <c r="L30" s="87"/>
      <c r="M30" s="328">
        <f>H30*F30</f>
        <v>0</v>
      </c>
      <c r="N30" s="321"/>
      <c r="O30" s="321"/>
      <c r="P30" s="321"/>
      <c r="Q30" s="87"/>
      <c r="R30" s="21"/>
    </row>
    <row r="31" spans="2:18" s="1" customFormat="1" ht="14.45" customHeight="1" x14ac:dyDescent="0.25">
      <c r="B31" s="20"/>
      <c r="E31" s="25" t="s">
        <v>33</v>
      </c>
      <c r="F31" s="119">
        <v>0.12</v>
      </c>
      <c r="G31" s="120" t="s">
        <v>32</v>
      </c>
      <c r="H31" s="328"/>
      <c r="I31" s="321"/>
      <c r="J31" s="321"/>
      <c r="K31" s="87"/>
      <c r="L31" s="87"/>
      <c r="M31" s="328"/>
      <c r="N31" s="321"/>
      <c r="O31" s="321"/>
      <c r="P31" s="321"/>
      <c r="Q31" s="87"/>
      <c r="R31" s="21"/>
    </row>
    <row r="32" spans="2:18" s="1" customFormat="1" ht="14.45" hidden="1" customHeight="1" x14ac:dyDescent="0.25">
      <c r="B32" s="20"/>
      <c r="E32" s="25" t="s">
        <v>34</v>
      </c>
      <c r="F32" s="119">
        <v>0.21</v>
      </c>
      <c r="G32" s="120" t="s">
        <v>32</v>
      </c>
      <c r="H32" s="328" t="e">
        <f>ROUND((SUM(#REF!)+SUM(#REF!)), 2)</f>
        <v>#REF!</v>
      </c>
      <c r="I32" s="321"/>
      <c r="J32" s="321"/>
      <c r="K32" s="87"/>
      <c r="L32" s="87"/>
      <c r="M32" s="328">
        <v>0</v>
      </c>
      <c r="N32" s="321"/>
      <c r="O32" s="321"/>
      <c r="P32" s="321"/>
      <c r="Q32" s="87"/>
      <c r="R32" s="21"/>
    </row>
    <row r="33" spans="2:18" s="1" customFormat="1" ht="14.45" hidden="1" customHeight="1" x14ac:dyDescent="0.25">
      <c r="B33" s="20"/>
      <c r="E33" s="25" t="s">
        <v>35</v>
      </c>
      <c r="F33" s="119">
        <v>0.15</v>
      </c>
      <c r="G33" s="120" t="s">
        <v>32</v>
      </c>
      <c r="H33" s="328" t="e">
        <f>ROUND((SUM(#REF!)+SUM(#REF!)), 2)</f>
        <v>#REF!</v>
      </c>
      <c r="I33" s="321"/>
      <c r="J33" s="321"/>
      <c r="K33" s="87"/>
      <c r="L33" s="87"/>
      <c r="M33" s="328">
        <v>0</v>
      </c>
      <c r="N33" s="321"/>
      <c r="O33" s="321"/>
      <c r="P33" s="321"/>
      <c r="Q33" s="87"/>
      <c r="R33" s="21"/>
    </row>
    <row r="34" spans="2:18" s="1" customFormat="1" ht="14.45" hidden="1" customHeight="1" x14ac:dyDescent="0.25">
      <c r="B34" s="20"/>
      <c r="E34" s="25" t="s">
        <v>36</v>
      </c>
      <c r="F34" s="119">
        <v>0</v>
      </c>
      <c r="G34" s="120" t="s">
        <v>32</v>
      </c>
      <c r="H34" s="328" t="e">
        <f>ROUND((SUM(#REF!)+SUM(#REF!)), 2)</f>
        <v>#REF!</v>
      </c>
      <c r="I34" s="321"/>
      <c r="J34" s="321"/>
      <c r="K34" s="87"/>
      <c r="L34" s="87"/>
      <c r="M34" s="328">
        <v>0</v>
      </c>
      <c r="N34" s="321"/>
      <c r="O34" s="321"/>
      <c r="P34" s="321"/>
      <c r="Q34" s="87"/>
      <c r="R34" s="21"/>
    </row>
    <row r="35" spans="2:18" s="1" customFormat="1" ht="6.95" customHeight="1" x14ac:dyDescent="0.25">
      <c r="B35" s="20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21"/>
    </row>
    <row r="36" spans="2:18" s="1" customFormat="1" ht="25.35" customHeight="1" x14ac:dyDescent="0.25">
      <c r="B36" s="20"/>
      <c r="D36" s="62" t="s">
        <v>37</v>
      </c>
      <c r="E36" s="52"/>
      <c r="F36" s="52"/>
      <c r="G36" s="63" t="s">
        <v>38</v>
      </c>
      <c r="H36" s="132" t="s">
        <v>39</v>
      </c>
      <c r="I36" s="133"/>
      <c r="J36" s="133"/>
      <c r="K36" s="133"/>
      <c r="L36" s="374">
        <f>SUM(M28:M34)</f>
        <v>0</v>
      </c>
      <c r="M36" s="375"/>
      <c r="N36" s="375"/>
      <c r="O36" s="375"/>
      <c r="P36" s="376"/>
      <c r="Q36" s="87"/>
      <c r="R36" s="21"/>
    </row>
    <row r="37" spans="2:18" s="1" customFormat="1" ht="14.45" customHeight="1" x14ac:dyDescent="0.25">
      <c r="B37" s="20"/>
      <c r="N37" s="87"/>
      <c r="O37" s="87"/>
      <c r="P37" s="87"/>
      <c r="Q37" s="87"/>
      <c r="R37" s="21"/>
    </row>
    <row r="38" spans="2:18" s="1" customFormat="1" ht="14.45" customHeight="1" x14ac:dyDescent="0.25">
      <c r="B38" s="20"/>
      <c r="N38" s="87"/>
      <c r="O38" s="87"/>
      <c r="P38" s="87"/>
      <c r="Q38" s="87"/>
      <c r="R38" s="21"/>
    </row>
    <row r="39" spans="2:18" x14ac:dyDescent="0.3">
      <c r="B39" s="12"/>
      <c r="R39" s="13"/>
    </row>
    <row r="40" spans="2:18" x14ac:dyDescent="0.3">
      <c r="B40" s="12"/>
      <c r="R40" s="13"/>
    </row>
    <row r="41" spans="2:18" x14ac:dyDescent="0.3">
      <c r="B41" s="12"/>
      <c r="R41" s="13"/>
    </row>
    <row r="42" spans="2:18" x14ac:dyDescent="0.3">
      <c r="B42" s="12"/>
      <c r="R42" s="13"/>
    </row>
    <row r="43" spans="2:18" x14ac:dyDescent="0.3">
      <c r="B43" s="12"/>
      <c r="R43" s="13"/>
    </row>
    <row r="44" spans="2:18" x14ac:dyDescent="0.3">
      <c r="B44" s="12"/>
      <c r="R44" s="13"/>
    </row>
    <row r="45" spans="2:18" x14ac:dyDescent="0.3">
      <c r="B45" s="12"/>
      <c r="R45" s="13"/>
    </row>
    <row r="46" spans="2:18" x14ac:dyDescent="0.3">
      <c r="B46" s="12"/>
      <c r="R46" s="13"/>
    </row>
    <row r="47" spans="2:18" x14ac:dyDescent="0.3">
      <c r="B47" s="12"/>
      <c r="R47" s="13"/>
    </row>
    <row r="48" spans="2:18" x14ac:dyDescent="0.3">
      <c r="B48" s="12"/>
      <c r="R48" s="13"/>
    </row>
    <row r="49" spans="2:18" s="1" customFormat="1" ht="15" x14ac:dyDescent="0.25">
      <c r="B49" s="20"/>
      <c r="D49" s="31" t="s">
        <v>40</v>
      </c>
      <c r="E49" s="32"/>
      <c r="F49" s="32"/>
      <c r="G49" s="32"/>
      <c r="H49" s="33"/>
      <c r="J49" s="31" t="s">
        <v>41</v>
      </c>
      <c r="K49" s="32"/>
      <c r="L49" s="32"/>
      <c r="M49" s="32"/>
      <c r="N49" s="88"/>
      <c r="O49" s="88"/>
      <c r="P49" s="89"/>
      <c r="Q49" s="87"/>
      <c r="R49" s="21"/>
    </row>
    <row r="50" spans="2:18" x14ac:dyDescent="0.3">
      <c r="B50" s="12"/>
      <c r="D50" s="34"/>
      <c r="H50" s="35"/>
      <c r="J50" s="34"/>
      <c r="P50" s="90"/>
      <c r="R50" s="13"/>
    </row>
    <row r="51" spans="2:18" x14ac:dyDescent="0.3">
      <c r="B51" s="12"/>
      <c r="D51" s="34"/>
      <c r="H51" s="35"/>
      <c r="J51" s="34"/>
      <c r="P51" s="90"/>
      <c r="R51" s="13"/>
    </row>
    <row r="52" spans="2:18" x14ac:dyDescent="0.3">
      <c r="B52" s="12"/>
      <c r="D52" s="34"/>
      <c r="H52" s="35"/>
      <c r="J52" s="34"/>
      <c r="P52" s="90"/>
      <c r="R52" s="13"/>
    </row>
    <row r="53" spans="2:18" x14ac:dyDescent="0.3">
      <c r="B53" s="12"/>
      <c r="D53" s="34"/>
      <c r="H53" s="35"/>
      <c r="J53" s="34"/>
      <c r="P53" s="90"/>
      <c r="R53" s="13"/>
    </row>
    <row r="54" spans="2:18" x14ac:dyDescent="0.3">
      <c r="B54" s="12"/>
      <c r="D54" s="34"/>
      <c r="H54" s="35"/>
      <c r="J54" s="34"/>
      <c r="P54" s="90"/>
      <c r="R54" s="13"/>
    </row>
    <row r="55" spans="2:18" x14ac:dyDescent="0.3">
      <c r="B55" s="12"/>
      <c r="D55" s="34"/>
      <c r="H55" s="35"/>
      <c r="J55" s="34"/>
      <c r="P55" s="90"/>
      <c r="R55" s="13"/>
    </row>
    <row r="56" spans="2:18" x14ac:dyDescent="0.3">
      <c r="B56" s="12"/>
      <c r="D56" s="34"/>
      <c r="H56" s="35"/>
      <c r="J56" s="34"/>
      <c r="P56" s="90"/>
      <c r="R56" s="13"/>
    </row>
    <row r="57" spans="2:18" x14ac:dyDescent="0.3">
      <c r="B57" s="12"/>
      <c r="D57" s="34"/>
      <c r="H57" s="35"/>
      <c r="J57" s="34"/>
      <c r="P57" s="90"/>
      <c r="R57" s="13"/>
    </row>
    <row r="58" spans="2:18" s="1" customFormat="1" ht="15" x14ac:dyDescent="0.25">
      <c r="B58" s="20"/>
      <c r="D58" s="36" t="s">
        <v>42</v>
      </c>
      <c r="E58" s="37"/>
      <c r="F58" s="37"/>
      <c r="G58" s="38" t="s">
        <v>43</v>
      </c>
      <c r="H58" s="39"/>
      <c r="J58" s="36" t="s">
        <v>42</v>
      </c>
      <c r="K58" s="37"/>
      <c r="L58" s="37"/>
      <c r="M58" s="37"/>
      <c r="N58" s="95" t="s">
        <v>43</v>
      </c>
      <c r="O58" s="96"/>
      <c r="P58" s="91"/>
      <c r="Q58" s="87"/>
      <c r="R58" s="21"/>
    </row>
    <row r="59" spans="2:18" x14ac:dyDescent="0.3">
      <c r="B59" s="12"/>
      <c r="R59" s="13"/>
    </row>
    <row r="60" spans="2:18" s="1" customFormat="1" ht="15" x14ac:dyDescent="0.25">
      <c r="B60" s="20"/>
      <c r="D60" s="31" t="s">
        <v>44</v>
      </c>
      <c r="E60" s="32"/>
      <c r="F60" s="32"/>
      <c r="G60" s="32"/>
      <c r="H60" s="33"/>
      <c r="J60" s="31" t="s">
        <v>45</v>
      </c>
      <c r="K60" s="32"/>
      <c r="L60" s="32"/>
      <c r="M60" s="32"/>
      <c r="N60" s="88"/>
      <c r="O60" s="88"/>
      <c r="P60" s="89"/>
      <c r="Q60" s="87"/>
      <c r="R60" s="21"/>
    </row>
    <row r="61" spans="2:18" x14ac:dyDescent="0.3">
      <c r="B61" s="12"/>
      <c r="D61" s="34"/>
      <c r="H61" s="35"/>
      <c r="J61" s="34"/>
      <c r="P61" s="90"/>
      <c r="R61" s="13"/>
    </row>
    <row r="62" spans="2:18" x14ac:dyDescent="0.3">
      <c r="B62" s="12"/>
      <c r="D62" s="34"/>
      <c r="H62" s="35"/>
      <c r="J62" s="34"/>
      <c r="P62" s="90"/>
      <c r="R62" s="13"/>
    </row>
    <row r="63" spans="2:18" x14ac:dyDescent="0.3">
      <c r="B63" s="12"/>
      <c r="D63" s="34"/>
      <c r="H63" s="35"/>
      <c r="J63" s="34"/>
      <c r="P63" s="90"/>
      <c r="R63" s="13"/>
    </row>
    <row r="64" spans="2:18" x14ac:dyDescent="0.3">
      <c r="B64" s="12"/>
      <c r="D64" s="34"/>
      <c r="H64" s="35"/>
      <c r="J64" s="34"/>
      <c r="P64" s="90"/>
      <c r="R64" s="13"/>
    </row>
    <row r="65" spans="2:18" x14ac:dyDescent="0.3">
      <c r="B65" s="12"/>
      <c r="D65" s="34"/>
      <c r="H65" s="35"/>
      <c r="J65" s="34"/>
      <c r="P65" s="90"/>
      <c r="R65" s="13"/>
    </row>
    <row r="66" spans="2:18" x14ac:dyDescent="0.3">
      <c r="B66" s="12"/>
      <c r="D66" s="34"/>
      <c r="H66" s="35"/>
      <c r="J66" s="34"/>
      <c r="P66" s="90"/>
      <c r="R66" s="13"/>
    </row>
    <row r="67" spans="2:18" x14ac:dyDescent="0.3">
      <c r="B67" s="12"/>
      <c r="D67" s="34"/>
      <c r="H67" s="35"/>
      <c r="J67" s="34"/>
      <c r="P67" s="90"/>
      <c r="R67" s="13"/>
    </row>
    <row r="68" spans="2:18" x14ac:dyDescent="0.3">
      <c r="B68" s="12"/>
      <c r="D68" s="34"/>
      <c r="H68" s="35"/>
      <c r="J68" s="34"/>
      <c r="P68" s="90"/>
      <c r="R68" s="13"/>
    </row>
    <row r="69" spans="2:18" s="1" customFormat="1" ht="15" x14ac:dyDescent="0.25">
      <c r="B69" s="20"/>
      <c r="D69" s="36" t="s">
        <v>42</v>
      </c>
      <c r="E69" s="37"/>
      <c r="F69" s="37"/>
      <c r="G69" s="38" t="s">
        <v>43</v>
      </c>
      <c r="H69" s="39"/>
      <c r="J69" s="36" t="s">
        <v>42</v>
      </c>
      <c r="K69" s="37"/>
      <c r="L69" s="37"/>
      <c r="M69" s="37"/>
      <c r="N69" s="95" t="s">
        <v>43</v>
      </c>
      <c r="O69" s="96"/>
      <c r="P69" s="91"/>
      <c r="Q69" s="87"/>
      <c r="R69" s="21"/>
    </row>
    <row r="70" spans="2:18" s="1" customFormat="1" ht="14.45" customHeight="1" x14ac:dyDescent="0.25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92"/>
      <c r="O70" s="92"/>
      <c r="P70" s="92"/>
      <c r="Q70" s="92"/>
      <c r="R70" s="42"/>
    </row>
    <row r="74" spans="2:18" s="1" customFormat="1" ht="6.95" customHeight="1" x14ac:dyDescent="0.2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93"/>
      <c r="O74" s="93"/>
      <c r="P74" s="93"/>
      <c r="Q74" s="93"/>
      <c r="R74" s="45"/>
    </row>
    <row r="75" spans="2:18" s="1" customFormat="1" ht="36.950000000000003" customHeight="1" x14ac:dyDescent="0.25">
      <c r="B75" s="20"/>
      <c r="C75" s="312" t="s">
        <v>60</v>
      </c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21"/>
    </row>
    <row r="76" spans="2:18" s="1" customFormat="1" ht="6.95" customHeight="1" x14ac:dyDescent="0.25">
      <c r="B76" s="20"/>
      <c r="N76" s="87"/>
      <c r="O76" s="87"/>
      <c r="P76" s="87"/>
      <c r="Q76" s="87"/>
      <c r="R76" s="21"/>
    </row>
    <row r="77" spans="2:18" s="1" customFormat="1" ht="36.950000000000003" customHeight="1" x14ac:dyDescent="0.25">
      <c r="B77" s="20"/>
      <c r="C77" s="49" t="s">
        <v>7</v>
      </c>
      <c r="F77" s="318" t="str">
        <f>F5</f>
        <v>Oprava části asfaltového povrchu MK v ulici Na Ostrově v Chrudimi - ČÁST 2</v>
      </c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87"/>
      <c r="R77" s="21"/>
    </row>
    <row r="78" spans="2:18" s="1" customFormat="1" ht="6.95" customHeight="1" x14ac:dyDescent="0.25">
      <c r="B78" s="20"/>
      <c r="N78" s="87"/>
      <c r="O78" s="87"/>
      <c r="P78" s="87"/>
      <c r="Q78" s="87"/>
      <c r="R78" s="21"/>
    </row>
    <row r="79" spans="2:18" s="1" customFormat="1" ht="18" customHeight="1" x14ac:dyDescent="0.25">
      <c r="B79" s="20"/>
      <c r="C79" s="17" t="s">
        <v>13</v>
      </c>
      <c r="F79" s="15" t="str">
        <f>F7</f>
        <v>Chrudim</v>
      </c>
      <c r="K79" s="17" t="s">
        <v>15</v>
      </c>
      <c r="M79" s="317">
        <f>O7</f>
        <v>46087</v>
      </c>
      <c r="N79" s="317"/>
      <c r="Q79" s="87"/>
      <c r="R79" s="21"/>
    </row>
    <row r="80" spans="2:18" s="1" customFormat="1" ht="6.95" customHeight="1" x14ac:dyDescent="0.25">
      <c r="B80" s="20"/>
      <c r="N80" s="87"/>
      <c r="O80" s="87"/>
      <c r="P80" s="87"/>
      <c r="Q80" s="87"/>
      <c r="R80" s="21"/>
    </row>
    <row r="81" spans="2:20" s="1" customFormat="1" ht="15" x14ac:dyDescent="0.25">
      <c r="B81" s="20"/>
      <c r="C81" s="17" t="s">
        <v>18</v>
      </c>
      <c r="F81" s="15" t="str">
        <f>E10</f>
        <v xml:space="preserve"> </v>
      </c>
      <c r="K81" s="17" t="s">
        <v>23</v>
      </c>
      <c r="M81" s="333" t="str">
        <f>E16</f>
        <v xml:space="preserve"> </v>
      </c>
      <c r="N81" s="306"/>
      <c r="O81" s="306"/>
      <c r="P81" s="306"/>
      <c r="Q81" s="306"/>
      <c r="R81" s="21"/>
    </row>
    <row r="82" spans="2:20" s="1" customFormat="1" ht="14.45" customHeight="1" x14ac:dyDescent="0.25">
      <c r="B82" s="20"/>
      <c r="C82" s="17" t="s">
        <v>22</v>
      </c>
      <c r="F82" s="15" t="str">
        <f>IF(E13="","",E13)</f>
        <v xml:space="preserve"> </v>
      </c>
      <c r="K82" s="17" t="s">
        <v>25</v>
      </c>
      <c r="M82" s="333" t="str">
        <f>E19</f>
        <v xml:space="preserve"> </v>
      </c>
      <c r="N82" s="306"/>
      <c r="O82" s="306"/>
      <c r="P82" s="306"/>
      <c r="Q82" s="306"/>
      <c r="R82" s="21"/>
    </row>
    <row r="83" spans="2:20" s="1" customFormat="1" ht="10.35" customHeight="1" x14ac:dyDescent="0.25">
      <c r="B83" s="20"/>
      <c r="N83" s="87"/>
      <c r="O83" s="87"/>
      <c r="P83" s="87"/>
      <c r="Q83" s="87"/>
      <c r="R83" s="21"/>
    </row>
    <row r="84" spans="2:20" s="1" customFormat="1" ht="29.25" customHeight="1" x14ac:dyDescent="0.25">
      <c r="B84" s="20"/>
      <c r="C84" s="371" t="s">
        <v>61</v>
      </c>
      <c r="D84" s="372"/>
      <c r="E84" s="372"/>
      <c r="F84" s="372"/>
      <c r="G84" s="372"/>
      <c r="H84" s="61"/>
      <c r="I84" s="61"/>
      <c r="J84" s="61"/>
      <c r="K84" s="61"/>
      <c r="L84" s="61"/>
      <c r="M84" s="61"/>
      <c r="N84" s="61"/>
      <c r="O84" s="373" t="s">
        <v>62</v>
      </c>
      <c r="P84" s="373"/>
      <c r="Q84" s="373"/>
      <c r="R84" s="21"/>
    </row>
    <row r="85" spans="2:20" s="1" customFormat="1" ht="10.35" customHeight="1" x14ac:dyDescent="0.25">
      <c r="B85" s="20"/>
      <c r="O85" s="112"/>
      <c r="Q85" s="87"/>
      <c r="R85" s="21"/>
    </row>
    <row r="86" spans="2:20" s="1" customFormat="1" ht="29.25" customHeight="1" x14ac:dyDescent="0.25">
      <c r="B86" s="20"/>
      <c r="C86" s="113" t="s">
        <v>63</v>
      </c>
      <c r="O86" s="322">
        <f>SUM(O87:Q92)</f>
        <v>0</v>
      </c>
      <c r="P86" s="322"/>
      <c r="Q86" s="322"/>
      <c r="R86" s="21"/>
      <c r="T86" s="251">
        <f>O86-M114</f>
        <v>0</v>
      </c>
    </row>
    <row r="87" spans="2:20" s="6" customFormat="1" ht="19.899999999999999" customHeight="1" x14ac:dyDescent="0.25">
      <c r="B87" s="64"/>
      <c r="D87" s="114" t="s">
        <v>64</v>
      </c>
      <c r="O87" s="369">
        <f>M115</f>
        <v>0</v>
      </c>
      <c r="P87" s="369"/>
      <c r="Q87" s="369"/>
      <c r="R87" s="115"/>
    </row>
    <row r="88" spans="2:20" s="6" customFormat="1" ht="19.899999999999999" customHeight="1" x14ac:dyDescent="0.25">
      <c r="B88" s="64"/>
      <c r="D88" s="114" t="s">
        <v>65</v>
      </c>
      <c r="O88" s="369">
        <f>M201</f>
        <v>0</v>
      </c>
      <c r="P88" s="369"/>
      <c r="Q88" s="369"/>
      <c r="R88" s="115"/>
    </row>
    <row r="89" spans="2:20" s="6" customFormat="1" ht="19.899999999999999" customHeight="1" x14ac:dyDescent="0.25">
      <c r="B89" s="64"/>
      <c r="D89" s="114" t="s">
        <v>66</v>
      </c>
      <c r="O89" s="369">
        <f>M264</f>
        <v>0</v>
      </c>
      <c r="P89" s="369"/>
      <c r="Q89" s="369"/>
      <c r="R89" s="115"/>
    </row>
    <row r="90" spans="2:20" s="6" customFormat="1" ht="19.899999999999999" customHeight="1" x14ac:dyDescent="0.25">
      <c r="B90" s="64"/>
      <c r="D90" s="114" t="s">
        <v>67</v>
      </c>
      <c r="O90" s="369">
        <f>M331</f>
        <v>0</v>
      </c>
      <c r="P90" s="369"/>
      <c r="Q90" s="369"/>
      <c r="R90" s="115"/>
    </row>
    <row r="91" spans="2:20" s="6" customFormat="1" ht="19.899999999999999" customHeight="1" x14ac:dyDescent="0.25">
      <c r="B91" s="64"/>
      <c r="D91" s="114" t="s">
        <v>86</v>
      </c>
      <c r="O91" s="369">
        <f>M338</f>
        <v>0</v>
      </c>
      <c r="P91" s="369"/>
      <c r="Q91" s="369"/>
      <c r="R91" s="115"/>
    </row>
    <row r="92" spans="2:20" s="6" customFormat="1" ht="19.899999999999999" customHeight="1" x14ac:dyDescent="0.25">
      <c r="B92" s="64"/>
      <c r="D92" s="114" t="s">
        <v>93</v>
      </c>
      <c r="O92" s="369">
        <f>M340</f>
        <v>0</v>
      </c>
      <c r="P92" s="369"/>
      <c r="Q92" s="369"/>
      <c r="R92" s="115"/>
    </row>
    <row r="93" spans="2:20" s="77" customFormat="1" ht="7.5" x14ac:dyDescent="0.25">
      <c r="B93" s="78"/>
      <c r="O93" s="131"/>
      <c r="Q93" s="94"/>
      <c r="R93" s="103"/>
    </row>
    <row r="94" spans="2:20" s="1" customFormat="1" ht="29.25" customHeight="1" x14ac:dyDescent="0.25">
      <c r="B94" s="20"/>
      <c r="C94" s="113"/>
      <c r="O94" s="370"/>
      <c r="P94" s="370"/>
      <c r="Q94" s="370"/>
      <c r="R94" s="21"/>
    </row>
    <row r="95" spans="2:20" s="77" customFormat="1" ht="7.5" x14ac:dyDescent="0.25">
      <c r="B95" s="78"/>
      <c r="O95" s="131"/>
      <c r="Q95" s="94"/>
      <c r="R95" s="103"/>
    </row>
    <row r="96" spans="2:20" s="1" customFormat="1" ht="29.25" customHeight="1" x14ac:dyDescent="0.25">
      <c r="B96" s="20"/>
      <c r="C96" s="60" t="s">
        <v>209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367">
        <f>ROUND(SUM(O86+O94),2)</f>
        <v>0</v>
      </c>
      <c r="P96" s="367"/>
      <c r="Q96" s="367"/>
      <c r="R96" s="21"/>
    </row>
    <row r="97" spans="2:18" s="1" customFormat="1" ht="6.95" customHeight="1" x14ac:dyDescent="0.25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92"/>
      <c r="O97" s="92"/>
      <c r="P97" s="92"/>
      <c r="Q97" s="92"/>
      <c r="R97" s="42"/>
    </row>
    <row r="101" spans="2:18" s="1" customFormat="1" x14ac:dyDescent="0.2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93"/>
      <c r="O101" s="93"/>
      <c r="P101" s="93"/>
      <c r="Q101" s="93"/>
      <c r="R101" s="45"/>
    </row>
    <row r="102" spans="2:18" s="1" customFormat="1" ht="21" x14ac:dyDescent="0.25">
      <c r="B102" s="20"/>
      <c r="C102" s="312" t="s">
        <v>68</v>
      </c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21"/>
    </row>
    <row r="103" spans="2:18" s="77" customFormat="1" ht="7.5" x14ac:dyDescent="0.25">
      <c r="B103" s="78"/>
      <c r="N103" s="94"/>
      <c r="O103" s="94"/>
      <c r="P103" s="94"/>
      <c r="Q103" s="94"/>
      <c r="R103" s="103"/>
    </row>
    <row r="104" spans="2:18" s="1" customFormat="1" ht="33" customHeight="1" x14ac:dyDescent="0.25">
      <c r="B104" s="20"/>
      <c r="C104" s="49" t="s">
        <v>7</v>
      </c>
      <c r="F104" s="318" t="str">
        <f>F5</f>
        <v>Oprava části asfaltového povrchu MK v ulici Na Ostrově v Chrudimi - ČÁST 2</v>
      </c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87"/>
      <c r="R104" s="21"/>
    </row>
    <row r="105" spans="2:18" s="77" customFormat="1" ht="7.5" x14ac:dyDescent="0.25">
      <c r="B105" s="78"/>
      <c r="N105" s="94"/>
      <c r="O105" s="94"/>
      <c r="P105" s="94"/>
      <c r="Q105" s="94"/>
      <c r="R105" s="103"/>
    </row>
    <row r="106" spans="2:18" s="1" customFormat="1" ht="15" x14ac:dyDescent="0.25">
      <c r="B106" s="20"/>
      <c r="C106" s="17" t="s">
        <v>13</v>
      </c>
      <c r="F106" s="15" t="str">
        <f>F7</f>
        <v>Chrudim</v>
      </c>
      <c r="K106" s="17" t="s">
        <v>15</v>
      </c>
      <c r="M106" s="368">
        <f>O7</f>
        <v>46087</v>
      </c>
      <c r="N106" s="306"/>
      <c r="O106" s="306"/>
      <c r="P106" s="306"/>
      <c r="Q106" s="87"/>
      <c r="R106" s="21"/>
    </row>
    <row r="107" spans="2:18" s="77" customFormat="1" ht="7.5" x14ac:dyDescent="0.25">
      <c r="B107" s="78"/>
      <c r="N107" s="94"/>
      <c r="O107" s="94"/>
      <c r="P107" s="94"/>
      <c r="Q107" s="94"/>
      <c r="R107" s="103"/>
    </row>
    <row r="108" spans="2:18" s="1" customFormat="1" ht="15" x14ac:dyDescent="0.25">
      <c r="B108" s="20"/>
      <c r="C108" s="17" t="s">
        <v>18</v>
      </c>
      <c r="F108" s="15" t="str">
        <f>E10</f>
        <v xml:space="preserve"> </v>
      </c>
      <c r="K108" s="17" t="s">
        <v>23</v>
      </c>
      <c r="M108" s="333" t="str">
        <f>E16</f>
        <v xml:space="preserve"> </v>
      </c>
      <c r="N108" s="306"/>
      <c r="O108" s="306"/>
      <c r="P108" s="306"/>
      <c r="Q108" s="306"/>
      <c r="R108" s="21"/>
    </row>
    <row r="109" spans="2:18" s="1" customFormat="1" ht="15" x14ac:dyDescent="0.25">
      <c r="B109" s="20"/>
      <c r="C109" s="17" t="s">
        <v>22</v>
      </c>
      <c r="F109" s="15" t="str">
        <f>IF(E13="","",E13)</f>
        <v xml:space="preserve"> </v>
      </c>
      <c r="K109" s="17" t="s">
        <v>25</v>
      </c>
      <c r="M109" s="333" t="str">
        <f>E19</f>
        <v xml:space="preserve"> </v>
      </c>
      <c r="N109" s="306"/>
      <c r="O109" s="306"/>
      <c r="P109" s="306"/>
      <c r="Q109" s="306"/>
      <c r="R109" s="21"/>
    </row>
    <row r="110" spans="2:18" s="77" customFormat="1" ht="7.5" x14ac:dyDescent="0.25">
      <c r="B110" s="78"/>
      <c r="N110" s="94"/>
      <c r="O110" s="94"/>
      <c r="P110" s="94"/>
      <c r="Q110" s="94"/>
      <c r="R110" s="103"/>
    </row>
    <row r="111" spans="2:18" s="7" customFormat="1" ht="15" x14ac:dyDescent="0.25">
      <c r="B111" s="65"/>
      <c r="C111" s="366" t="s">
        <v>69</v>
      </c>
      <c r="D111" s="366" t="s">
        <v>70</v>
      </c>
      <c r="E111" s="366" t="s">
        <v>47</v>
      </c>
      <c r="F111" s="366" t="s">
        <v>71</v>
      </c>
      <c r="G111" s="366"/>
      <c r="H111" s="366"/>
      <c r="I111" s="366"/>
      <c r="J111" s="366" t="s">
        <v>72</v>
      </c>
      <c r="K111" s="366" t="s">
        <v>73</v>
      </c>
      <c r="L111" s="364" t="s">
        <v>81</v>
      </c>
      <c r="M111" s="365"/>
      <c r="N111" s="366" t="s">
        <v>82</v>
      </c>
      <c r="O111" s="366"/>
      <c r="P111" s="366" t="s">
        <v>83</v>
      </c>
      <c r="Q111" s="366"/>
      <c r="R111" s="66"/>
    </row>
    <row r="112" spans="2:18" s="7" customFormat="1" ht="15" x14ac:dyDescent="0.25">
      <c r="B112" s="65"/>
      <c r="C112" s="366"/>
      <c r="D112" s="366"/>
      <c r="E112" s="366"/>
      <c r="F112" s="366"/>
      <c r="G112" s="366"/>
      <c r="H112" s="366"/>
      <c r="I112" s="366"/>
      <c r="J112" s="366"/>
      <c r="K112" s="366"/>
      <c r="L112" s="76" t="s">
        <v>79</v>
      </c>
      <c r="M112" s="106" t="s">
        <v>80</v>
      </c>
      <c r="N112" s="76" t="s">
        <v>79</v>
      </c>
      <c r="O112" s="97" t="s">
        <v>80</v>
      </c>
      <c r="P112" s="76" t="s">
        <v>79</v>
      </c>
      <c r="Q112" s="97" t="s">
        <v>80</v>
      </c>
      <c r="R112" s="66"/>
    </row>
    <row r="113" spans="2:18" s="174" customFormat="1" ht="7.5" x14ac:dyDescent="0.25">
      <c r="B113" s="175"/>
      <c r="M113" s="176"/>
      <c r="O113" s="177"/>
      <c r="Q113" s="177"/>
      <c r="R113" s="178"/>
    </row>
    <row r="114" spans="2:18" s="1" customFormat="1" ht="18" x14ac:dyDescent="0.35">
      <c r="B114" s="20"/>
      <c r="C114" s="53" t="s">
        <v>58</v>
      </c>
      <c r="D114" s="100"/>
      <c r="E114" s="100"/>
      <c r="F114" s="100"/>
      <c r="G114" s="100"/>
      <c r="H114" s="100"/>
      <c r="I114" s="100"/>
      <c r="J114" s="100"/>
      <c r="K114" s="100"/>
      <c r="L114" s="100"/>
      <c r="M114" s="107">
        <f>SUM(M116:M198,M202:M259,M265:M326,M332:M337,M339,M341:M347)</f>
        <v>0</v>
      </c>
      <c r="N114" s="100"/>
      <c r="O114" s="256">
        <f>SUM(O116:O198,O202:O259,O265:O326,O332:O337,O339,O341:O347)</f>
        <v>813.78540025000007</v>
      </c>
      <c r="P114" s="257"/>
      <c r="Q114" s="256">
        <f>SUM(Q116:Q198,Q202:Q259,Q265:Q326,Q332:Q337,Q339,Q341:Q347)</f>
        <v>570.68000000000006</v>
      </c>
      <c r="R114" s="21"/>
    </row>
    <row r="115" spans="2:18" s="99" customFormat="1" ht="15.75" x14ac:dyDescent="0.35">
      <c r="B115" s="98"/>
      <c r="D115" s="84" t="s">
        <v>64</v>
      </c>
      <c r="E115" s="84"/>
      <c r="F115" s="84"/>
      <c r="G115" s="84"/>
      <c r="H115" s="84"/>
      <c r="I115" s="84"/>
      <c r="J115" s="84"/>
      <c r="K115" s="84"/>
      <c r="L115" s="84"/>
      <c r="M115" s="108">
        <f>SUM(M116:M198)</f>
        <v>0</v>
      </c>
      <c r="O115" s="254">
        <f>SUM(O116:O198)</f>
        <v>50.581674</v>
      </c>
      <c r="P115" s="255"/>
      <c r="Q115" s="254">
        <f>SUM(Q116:Q198)</f>
        <v>570.68000000000006</v>
      </c>
      <c r="R115" s="104"/>
    </row>
    <row r="116" spans="2:18" s="1" customFormat="1" x14ac:dyDescent="0.25">
      <c r="B116" s="20"/>
      <c r="C116" s="163">
        <v>1</v>
      </c>
      <c r="D116" s="163" t="s">
        <v>74</v>
      </c>
      <c r="E116" s="164" t="s">
        <v>250</v>
      </c>
      <c r="F116" s="346" t="s">
        <v>251</v>
      </c>
      <c r="G116" s="347"/>
      <c r="H116" s="347"/>
      <c r="I116" s="347"/>
      <c r="J116" s="126" t="s">
        <v>213</v>
      </c>
      <c r="K116" s="73">
        <f>K120</f>
        <v>15</v>
      </c>
      <c r="L116" s="147"/>
      <c r="M116" s="110">
        <f>ROUND(L116*K116,2)</f>
        <v>0</v>
      </c>
      <c r="N116" s="80">
        <v>0</v>
      </c>
      <c r="O116" s="73">
        <f>N116*K116</f>
        <v>0</v>
      </c>
      <c r="P116" s="80">
        <v>0</v>
      </c>
      <c r="Q116" s="73">
        <f>P116*K116</f>
        <v>0</v>
      </c>
      <c r="R116" s="105"/>
    </row>
    <row r="117" spans="2:18" s="1" customFormat="1" x14ac:dyDescent="0.25">
      <c r="B117" s="20"/>
      <c r="C117" s="165">
        <v>1</v>
      </c>
      <c r="D117" s="165" t="s">
        <v>74</v>
      </c>
      <c r="E117" s="166" t="s">
        <v>254</v>
      </c>
      <c r="F117" s="342" t="s">
        <v>255</v>
      </c>
      <c r="G117" s="343"/>
      <c r="H117" s="343"/>
      <c r="I117" s="343"/>
      <c r="J117" s="127" t="s">
        <v>213</v>
      </c>
      <c r="K117" s="75">
        <f>K116</f>
        <v>15</v>
      </c>
      <c r="L117" s="149"/>
      <c r="M117" s="111">
        <f>ROUND(L117*K117,2)</f>
        <v>0</v>
      </c>
      <c r="N117" s="82">
        <v>0</v>
      </c>
      <c r="O117" s="75">
        <f>N117*K117</f>
        <v>0</v>
      </c>
      <c r="P117" s="82">
        <v>0</v>
      </c>
      <c r="Q117" s="75">
        <f>P117*K117</f>
        <v>0</v>
      </c>
      <c r="R117" s="105"/>
    </row>
    <row r="118" spans="2:18" s="1" customFormat="1" x14ac:dyDescent="0.25">
      <c r="B118" s="68"/>
      <c r="C118" s="128"/>
      <c r="D118" s="128"/>
      <c r="E118" s="258" t="s">
        <v>252</v>
      </c>
      <c r="F118" s="236" t="s">
        <v>253</v>
      </c>
      <c r="G118" s="259"/>
      <c r="H118" s="259"/>
      <c r="I118" s="259"/>
      <c r="J118" s="259"/>
      <c r="K118" s="156">
        <f>(1*1.5*1.5)*2+0.8*2.5*1.5</f>
        <v>7.5</v>
      </c>
      <c r="L118" s="69"/>
      <c r="M118" s="70"/>
      <c r="N118" s="67"/>
      <c r="O118" s="71"/>
      <c r="P118" s="67"/>
      <c r="Q118" s="71"/>
      <c r="R118" s="21"/>
    </row>
    <row r="119" spans="2:18" s="1" customFormat="1" x14ac:dyDescent="0.25">
      <c r="B119" s="68"/>
      <c r="C119" s="128"/>
      <c r="D119" s="128"/>
      <c r="E119" s="260" t="s">
        <v>287</v>
      </c>
      <c r="F119" s="261" t="s">
        <v>253</v>
      </c>
      <c r="G119" s="262"/>
      <c r="H119" s="262"/>
      <c r="I119" s="262"/>
      <c r="J119" s="262"/>
      <c r="K119" s="157">
        <f>(1*1.5*1.5)*2+0.8*2.5*1.5</f>
        <v>7.5</v>
      </c>
      <c r="L119" s="69"/>
      <c r="M119" s="70"/>
      <c r="N119" s="67"/>
      <c r="O119" s="71"/>
      <c r="P119" s="67"/>
      <c r="Q119" s="71"/>
      <c r="R119" s="21"/>
    </row>
    <row r="120" spans="2:18" s="1" customFormat="1" x14ac:dyDescent="0.25">
      <c r="B120" s="68"/>
      <c r="C120" s="128"/>
      <c r="D120" s="128"/>
      <c r="E120" s="154"/>
      <c r="F120" s="122"/>
      <c r="G120" s="123"/>
      <c r="H120" s="123"/>
      <c r="I120" s="123"/>
      <c r="J120" s="124"/>
      <c r="K120" s="125">
        <f>SUM(K118:K119)</f>
        <v>15</v>
      </c>
      <c r="L120" s="69"/>
      <c r="M120" s="70"/>
      <c r="N120" s="67"/>
      <c r="O120" s="71"/>
      <c r="P120" s="67"/>
      <c r="Q120" s="71"/>
      <c r="R120" s="21"/>
    </row>
    <row r="121" spans="2:18" s="1" customFormat="1" ht="37.5" customHeight="1" x14ac:dyDescent="0.25">
      <c r="B121" s="20"/>
      <c r="C121" s="161">
        <v>1</v>
      </c>
      <c r="D121" s="161" t="s">
        <v>74</v>
      </c>
      <c r="E121" s="162" t="s">
        <v>113</v>
      </c>
      <c r="F121" s="340" t="s">
        <v>261</v>
      </c>
      <c r="G121" s="344"/>
      <c r="H121" s="344"/>
      <c r="I121" s="344"/>
      <c r="J121" s="121" t="s">
        <v>213</v>
      </c>
      <c r="K121" s="72">
        <f>K124</f>
        <v>5</v>
      </c>
      <c r="L121" s="146"/>
      <c r="M121" s="109">
        <f>ROUND(L121*K121,2)</f>
        <v>0</v>
      </c>
      <c r="N121" s="79">
        <v>0</v>
      </c>
      <c r="O121" s="72">
        <f>N121*K121</f>
        <v>0</v>
      </c>
      <c r="P121" s="79">
        <v>0.27</v>
      </c>
      <c r="Q121" s="216">
        <f>P121*K121</f>
        <v>1.35</v>
      </c>
      <c r="R121" s="105"/>
    </row>
    <row r="122" spans="2:18" s="1" customFormat="1" x14ac:dyDescent="0.25">
      <c r="B122" s="68"/>
      <c r="C122" s="128"/>
      <c r="D122" s="128"/>
      <c r="E122" s="258" t="s">
        <v>252</v>
      </c>
      <c r="F122" s="236"/>
      <c r="G122" s="259"/>
      <c r="H122" s="259"/>
      <c r="I122" s="259"/>
      <c r="J122" s="259"/>
      <c r="K122" s="156">
        <v>2.5</v>
      </c>
      <c r="L122" s="69"/>
      <c r="M122" s="70"/>
      <c r="N122" s="67"/>
      <c r="O122" s="71"/>
      <c r="P122" s="67"/>
      <c r="Q122" s="71"/>
      <c r="R122" s="21"/>
    </row>
    <row r="123" spans="2:18" s="1" customFormat="1" x14ac:dyDescent="0.25">
      <c r="B123" s="68"/>
      <c r="C123" s="128"/>
      <c r="D123" s="128"/>
      <c r="E123" s="260" t="s">
        <v>287</v>
      </c>
      <c r="F123" s="261"/>
      <c r="G123" s="262"/>
      <c r="H123" s="262"/>
      <c r="I123" s="262"/>
      <c r="J123" s="262"/>
      <c r="K123" s="157">
        <v>2.5</v>
      </c>
      <c r="L123" s="69"/>
      <c r="M123" s="70"/>
      <c r="N123" s="67"/>
      <c r="O123" s="71"/>
      <c r="P123" s="67"/>
      <c r="Q123" s="71"/>
      <c r="R123" s="21"/>
    </row>
    <row r="124" spans="2:18" s="1" customFormat="1" x14ac:dyDescent="0.25">
      <c r="B124" s="68"/>
      <c r="C124" s="128"/>
      <c r="D124" s="128"/>
      <c r="E124" s="154"/>
      <c r="F124" s="122"/>
      <c r="G124" s="123"/>
      <c r="H124" s="123"/>
      <c r="I124" s="123"/>
      <c r="J124" s="124"/>
      <c r="K124" s="125">
        <f>SUM(K122:K123)</f>
        <v>5</v>
      </c>
      <c r="L124" s="69"/>
      <c r="M124" s="70"/>
      <c r="N124" s="67"/>
      <c r="O124" s="71"/>
      <c r="P124" s="67"/>
      <c r="Q124" s="71"/>
      <c r="R124" s="21"/>
    </row>
    <row r="125" spans="2:18" s="1" customFormat="1" ht="26.25" customHeight="1" x14ac:dyDescent="0.25">
      <c r="B125" s="20"/>
      <c r="C125" s="161">
        <v>1</v>
      </c>
      <c r="D125" s="161" t="s">
        <v>74</v>
      </c>
      <c r="E125" s="162" t="s">
        <v>279</v>
      </c>
      <c r="F125" s="340" t="s">
        <v>280</v>
      </c>
      <c r="G125" s="344"/>
      <c r="H125" s="344"/>
      <c r="I125" s="344"/>
      <c r="J125" s="121" t="s">
        <v>213</v>
      </c>
      <c r="K125" s="72">
        <f>K128</f>
        <v>6.4999999999999991</v>
      </c>
      <c r="L125" s="146"/>
      <c r="M125" s="109">
        <f>ROUND(L125*K125,2)</f>
        <v>0</v>
      </c>
      <c r="N125" s="79">
        <v>1.85</v>
      </c>
      <c r="O125" s="72">
        <f>N125*K125</f>
        <v>12.024999999999999</v>
      </c>
      <c r="P125" s="79">
        <v>0</v>
      </c>
      <c r="Q125" s="72">
        <f>P125*K125</f>
        <v>0</v>
      </c>
      <c r="R125" s="105"/>
    </row>
    <row r="126" spans="2:18" s="1" customFormat="1" x14ac:dyDescent="0.25">
      <c r="B126" s="68"/>
      <c r="C126" s="263"/>
      <c r="D126" s="263"/>
      <c r="E126" s="258" t="s">
        <v>252</v>
      </c>
      <c r="F126" s="236" t="s">
        <v>281</v>
      </c>
      <c r="G126" s="259"/>
      <c r="H126" s="259"/>
      <c r="I126" s="259"/>
      <c r="J126" s="259"/>
      <c r="K126" s="156">
        <f>(1*1.5*(0.2+0.15+0.3))*2+0.8*2.5*(0.2+0.15+0.3)</f>
        <v>3.2499999999999996</v>
      </c>
      <c r="L126" s="69"/>
      <c r="M126" s="70"/>
      <c r="N126" s="67"/>
      <c r="O126" s="71"/>
      <c r="P126" s="67"/>
      <c r="Q126" s="71"/>
      <c r="R126" s="21"/>
    </row>
    <row r="127" spans="2:18" s="1" customFormat="1" x14ac:dyDescent="0.25">
      <c r="B127" s="68"/>
      <c r="C127" s="128"/>
      <c r="D127" s="128"/>
      <c r="E127" s="187" t="s">
        <v>287</v>
      </c>
      <c r="F127" s="264" t="s">
        <v>281</v>
      </c>
      <c r="G127" s="265"/>
      <c r="H127" s="265"/>
      <c r="I127" s="265"/>
      <c r="J127" s="265"/>
      <c r="K127" s="134">
        <f>(1*1.5*(0.2+0.15+0.3))*2+0.8*2.5*(0.2+0.15+0.3)</f>
        <v>3.2499999999999996</v>
      </c>
      <c r="L127" s="69"/>
      <c r="M127" s="70"/>
      <c r="N127" s="67"/>
      <c r="O127" s="71"/>
      <c r="P127" s="67"/>
      <c r="Q127" s="71"/>
      <c r="R127" s="21"/>
    </row>
    <row r="128" spans="2:18" s="1" customFormat="1" x14ac:dyDescent="0.25">
      <c r="B128" s="68"/>
      <c r="C128" s="128"/>
      <c r="D128" s="128"/>
      <c r="E128" s="154"/>
      <c r="F128" s="122"/>
      <c r="G128" s="123"/>
      <c r="H128" s="123"/>
      <c r="I128" s="123"/>
      <c r="J128" s="124"/>
      <c r="K128" s="125">
        <f>SUM(K126:K127)</f>
        <v>6.4999999999999991</v>
      </c>
      <c r="L128" s="69"/>
      <c r="M128" s="70"/>
      <c r="N128" s="67"/>
      <c r="O128" s="71"/>
      <c r="P128" s="67"/>
      <c r="Q128" s="71"/>
      <c r="R128" s="21"/>
    </row>
    <row r="129" spans="2:19" s="1" customFormat="1" x14ac:dyDescent="0.25">
      <c r="B129" s="20"/>
      <c r="C129" s="163">
        <v>1</v>
      </c>
      <c r="D129" s="163" t="s">
        <v>74</v>
      </c>
      <c r="E129" s="164" t="s">
        <v>282</v>
      </c>
      <c r="F129" s="346" t="s">
        <v>283</v>
      </c>
      <c r="G129" s="347"/>
      <c r="H129" s="347"/>
      <c r="I129" s="347"/>
      <c r="J129" s="126" t="s">
        <v>213</v>
      </c>
      <c r="K129" s="73">
        <f>K133</f>
        <v>10</v>
      </c>
      <c r="L129" s="147"/>
      <c r="M129" s="110">
        <f>ROUND(L129*K129,2)</f>
        <v>0</v>
      </c>
      <c r="N129" s="80">
        <v>1.85</v>
      </c>
      <c r="O129" s="73">
        <f>N129*K129</f>
        <v>18.5</v>
      </c>
      <c r="P129" s="80">
        <v>0</v>
      </c>
      <c r="Q129" s="73">
        <f>P129*K129</f>
        <v>0</v>
      </c>
      <c r="R129" s="105"/>
    </row>
    <row r="130" spans="2:19" s="1" customFormat="1" x14ac:dyDescent="0.25">
      <c r="B130" s="139"/>
      <c r="C130" s="266">
        <v>30</v>
      </c>
      <c r="D130" s="266" t="s">
        <v>121</v>
      </c>
      <c r="E130" s="267"/>
      <c r="F130" s="361" t="s">
        <v>284</v>
      </c>
      <c r="G130" s="361"/>
      <c r="H130" s="361"/>
      <c r="I130" s="361"/>
      <c r="J130" s="268" t="s">
        <v>78</v>
      </c>
      <c r="K130" s="242">
        <f>K129*2</f>
        <v>20</v>
      </c>
      <c r="L130" s="197"/>
      <c r="M130" s="199">
        <f>ROUND(L130*K130,2)</f>
        <v>0</v>
      </c>
      <c r="N130" s="198">
        <v>1</v>
      </c>
      <c r="O130" s="196">
        <f>N130*K130</f>
        <v>20</v>
      </c>
      <c r="P130" s="198">
        <v>0</v>
      </c>
      <c r="Q130" s="196">
        <f>P130*K130</f>
        <v>0</v>
      </c>
      <c r="R130" s="141"/>
      <c r="S130" s="159"/>
    </row>
    <row r="131" spans="2:19" s="1" customFormat="1" x14ac:dyDescent="0.25">
      <c r="B131" s="68"/>
      <c r="C131" s="263"/>
      <c r="D131" s="263"/>
      <c r="E131" s="258" t="s">
        <v>252</v>
      </c>
      <c r="F131" s="236"/>
      <c r="G131" s="259"/>
      <c r="H131" s="259"/>
      <c r="I131" s="259"/>
      <c r="J131" s="259"/>
      <c r="K131" s="156">
        <f>K118-K122</f>
        <v>5</v>
      </c>
      <c r="L131" s="69"/>
      <c r="M131" s="70"/>
      <c r="N131" s="67"/>
      <c r="O131" s="71"/>
      <c r="P131" s="67"/>
      <c r="Q131" s="71"/>
      <c r="R131" s="21"/>
    </row>
    <row r="132" spans="2:19" s="1" customFormat="1" x14ac:dyDescent="0.25">
      <c r="B132" s="68"/>
      <c r="C132" s="128"/>
      <c r="D132" s="128"/>
      <c r="E132" s="187" t="s">
        <v>287</v>
      </c>
      <c r="F132" s="264"/>
      <c r="G132" s="265"/>
      <c r="H132" s="265"/>
      <c r="I132" s="265"/>
      <c r="J132" s="265"/>
      <c r="K132" s="134">
        <f>K119-K123</f>
        <v>5</v>
      </c>
      <c r="L132" s="69"/>
      <c r="M132" s="70"/>
      <c r="N132" s="67"/>
      <c r="O132" s="71"/>
      <c r="P132" s="67"/>
      <c r="Q132" s="71"/>
      <c r="R132" s="21"/>
    </row>
    <row r="133" spans="2:19" s="1" customFormat="1" x14ac:dyDescent="0.25">
      <c r="B133" s="68"/>
      <c r="C133" s="128"/>
      <c r="D133" s="128"/>
      <c r="E133" s="154"/>
      <c r="F133" s="122"/>
      <c r="G133" s="123"/>
      <c r="H133" s="123"/>
      <c r="I133" s="123"/>
      <c r="J133" s="124"/>
      <c r="K133" s="125">
        <f>SUM(K131:K132)</f>
        <v>10</v>
      </c>
      <c r="L133" s="69"/>
      <c r="M133" s="70"/>
      <c r="N133" s="67"/>
      <c r="O133" s="71"/>
      <c r="P133" s="67"/>
      <c r="Q133" s="71"/>
      <c r="R133" s="21"/>
    </row>
    <row r="134" spans="2:19" s="1" customFormat="1" x14ac:dyDescent="0.25">
      <c r="B134" s="20"/>
      <c r="C134" s="161">
        <v>1</v>
      </c>
      <c r="D134" s="161" t="s">
        <v>74</v>
      </c>
      <c r="E134" s="162" t="s">
        <v>113</v>
      </c>
      <c r="F134" s="340" t="s">
        <v>134</v>
      </c>
      <c r="G134" s="344"/>
      <c r="H134" s="344"/>
      <c r="I134" s="344"/>
      <c r="J134" s="121" t="s">
        <v>76</v>
      </c>
      <c r="K134" s="72">
        <f>K138</f>
        <v>190</v>
      </c>
      <c r="L134" s="146"/>
      <c r="M134" s="109">
        <f>ROUND(L134*K134,2)</f>
        <v>0</v>
      </c>
      <c r="N134" s="79">
        <v>0</v>
      </c>
      <c r="O134" s="72">
        <f>N134*K134</f>
        <v>0</v>
      </c>
      <c r="P134" s="79">
        <v>0.27</v>
      </c>
      <c r="Q134" s="216">
        <f>P134*K134</f>
        <v>51.300000000000004</v>
      </c>
      <c r="R134" s="105"/>
    </row>
    <row r="135" spans="2:19" s="1" customFormat="1" x14ac:dyDescent="0.25">
      <c r="B135" s="68"/>
      <c r="C135" s="128"/>
      <c r="D135" s="128"/>
      <c r="E135" s="187" t="s">
        <v>125</v>
      </c>
      <c r="F135" s="362"/>
      <c r="G135" s="362"/>
      <c r="H135" s="362"/>
      <c r="I135" s="362"/>
      <c r="J135" s="362"/>
      <c r="K135" s="156">
        <v>95</v>
      </c>
      <c r="L135" s="69"/>
      <c r="M135" s="70"/>
      <c r="N135" s="67"/>
      <c r="O135" s="71"/>
      <c r="P135" s="67"/>
      <c r="Q135" s="71"/>
      <c r="R135" s="21"/>
    </row>
    <row r="136" spans="2:19" s="1" customFormat="1" x14ac:dyDescent="0.25">
      <c r="B136" s="68"/>
      <c r="C136" s="128"/>
      <c r="D136" s="128"/>
      <c r="E136" s="187" t="s">
        <v>126</v>
      </c>
      <c r="F136" s="189"/>
      <c r="G136" s="189"/>
      <c r="H136" s="189"/>
      <c r="I136" s="189"/>
      <c r="J136" s="189"/>
      <c r="K136" s="134">
        <v>95</v>
      </c>
      <c r="L136" s="69"/>
      <c r="M136" s="70"/>
      <c r="N136" s="67"/>
      <c r="O136" s="71"/>
      <c r="P136" s="67"/>
      <c r="Q136" s="71"/>
      <c r="R136" s="21"/>
    </row>
    <row r="137" spans="2:19" s="1" customFormat="1" x14ac:dyDescent="0.25">
      <c r="B137" s="68"/>
      <c r="C137" s="128"/>
      <c r="D137" s="128"/>
      <c r="E137" s="155" t="s">
        <v>143</v>
      </c>
      <c r="F137" s="153"/>
      <c r="G137" s="153"/>
      <c r="H137" s="153"/>
      <c r="I137" s="153"/>
      <c r="J137" s="153"/>
      <c r="K137" s="157"/>
      <c r="L137" s="69"/>
      <c r="M137" s="70"/>
      <c r="N137" s="67"/>
      <c r="O137" s="71"/>
      <c r="P137" s="67"/>
      <c r="Q137" s="71"/>
      <c r="R137" s="21"/>
    </row>
    <row r="138" spans="2:19" s="1" customFormat="1" x14ac:dyDescent="0.25">
      <c r="B138" s="68"/>
      <c r="C138" s="128"/>
      <c r="D138" s="128"/>
      <c r="E138" s="154"/>
      <c r="F138" s="122"/>
      <c r="G138" s="123"/>
      <c r="H138" s="123"/>
      <c r="I138" s="123"/>
      <c r="J138" s="124"/>
      <c r="K138" s="125">
        <f>SUM(K135:K137)</f>
        <v>190</v>
      </c>
      <c r="L138" s="69"/>
      <c r="M138" s="70"/>
      <c r="N138" s="67"/>
      <c r="O138" s="71"/>
      <c r="P138" s="67"/>
      <c r="Q138" s="71"/>
      <c r="R138" s="21"/>
    </row>
    <row r="139" spans="2:19" s="1" customFormat="1" x14ac:dyDescent="0.25">
      <c r="B139" s="20"/>
      <c r="C139" s="161">
        <v>2</v>
      </c>
      <c r="D139" s="161" t="s">
        <v>74</v>
      </c>
      <c r="E139" s="162" t="s">
        <v>113</v>
      </c>
      <c r="F139" s="340" t="s">
        <v>135</v>
      </c>
      <c r="G139" s="344"/>
      <c r="H139" s="344"/>
      <c r="I139" s="344"/>
      <c r="J139" s="121" t="s">
        <v>76</v>
      </c>
      <c r="K139" s="72">
        <f>K144</f>
        <v>398</v>
      </c>
      <c r="L139" s="146"/>
      <c r="M139" s="109">
        <f>ROUND(L139*K139,2)</f>
        <v>0</v>
      </c>
      <c r="N139" s="79">
        <v>0</v>
      </c>
      <c r="O139" s="72">
        <f>N139*K139</f>
        <v>0</v>
      </c>
      <c r="P139" s="79">
        <v>0.27</v>
      </c>
      <c r="Q139" s="158">
        <f>P139*K139</f>
        <v>107.46000000000001</v>
      </c>
      <c r="R139" s="105"/>
    </row>
    <row r="140" spans="2:19" s="1" customFormat="1" x14ac:dyDescent="0.25">
      <c r="B140" s="68"/>
      <c r="C140" s="128"/>
      <c r="D140" s="128"/>
      <c r="E140" s="187" t="s">
        <v>125</v>
      </c>
      <c r="F140" s="236" t="s">
        <v>200</v>
      </c>
      <c r="G140" s="259"/>
      <c r="H140" s="259"/>
      <c r="I140" s="259"/>
      <c r="J140" s="259"/>
      <c r="K140" s="156">
        <f>118+5</f>
        <v>123</v>
      </c>
      <c r="L140" s="69"/>
      <c r="M140" s="70"/>
      <c r="N140" s="67"/>
      <c r="O140" s="71"/>
      <c r="P140" s="67"/>
      <c r="Q140" s="71"/>
      <c r="R140" s="21"/>
    </row>
    <row r="141" spans="2:19" s="1" customFormat="1" x14ac:dyDescent="0.25">
      <c r="B141" s="68"/>
      <c r="C141" s="128"/>
      <c r="D141" s="128"/>
      <c r="E141" s="187" t="s">
        <v>126</v>
      </c>
      <c r="F141" s="213" t="s">
        <v>198</v>
      </c>
      <c r="G141" s="189"/>
      <c r="H141" s="189"/>
      <c r="I141" s="189"/>
      <c r="J141" s="189"/>
      <c r="K141" s="134">
        <f>118+10+23*0.1</f>
        <v>130.30000000000001</v>
      </c>
      <c r="L141" s="69"/>
      <c r="M141" s="70"/>
      <c r="N141" s="67"/>
      <c r="O141" s="71"/>
      <c r="P141" s="67"/>
      <c r="Q141" s="71"/>
      <c r="R141" s="21"/>
    </row>
    <row r="142" spans="2:19" s="1" customFormat="1" x14ac:dyDescent="0.25">
      <c r="B142" s="68"/>
      <c r="C142" s="128"/>
      <c r="D142" s="128"/>
      <c r="E142" s="187" t="s">
        <v>245</v>
      </c>
      <c r="F142" s="213" t="s">
        <v>286</v>
      </c>
      <c r="G142" s="189"/>
      <c r="H142" s="189"/>
      <c r="I142" s="189"/>
      <c r="J142" s="189"/>
      <c r="K142" s="134">
        <v>7</v>
      </c>
      <c r="L142" s="69"/>
      <c r="M142" s="70"/>
      <c r="N142" s="67"/>
      <c r="O142" s="71"/>
      <c r="P142" s="67"/>
      <c r="Q142" s="71"/>
      <c r="R142" s="21"/>
    </row>
    <row r="143" spans="2:19" s="1" customFormat="1" x14ac:dyDescent="0.25">
      <c r="B143" s="68"/>
      <c r="C143" s="128"/>
      <c r="D143" s="128"/>
      <c r="E143" s="155" t="s">
        <v>143</v>
      </c>
      <c r="F143" s="188" t="s">
        <v>178</v>
      </c>
      <c r="G143" s="153"/>
      <c r="H143" s="153"/>
      <c r="I143" s="153"/>
      <c r="J143" s="153"/>
      <c r="K143" s="157">
        <f>137+7*0.1</f>
        <v>137.69999999999999</v>
      </c>
      <c r="L143" s="69"/>
      <c r="M143" s="70"/>
      <c r="N143" s="67"/>
      <c r="O143" s="71"/>
      <c r="P143" s="67"/>
      <c r="Q143" s="71"/>
      <c r="R143" s="21"/>
    </row>
    <row r="144" spans="2:19" s="1" customFormat="1" x14ac:dyDescent="0.25">
      <c r="B144" s="68"/>
      <c r="C144" s="128"/>
      <c r="D144" s="128"/>
      <c r="E144" s="154"/>
      <c r="F144" s="122"/>
      <c r="G144" s="123"/>
      <c r="H144" s="123"/>
      <c r="I144" s="123"/>
      <c r="J144" s="124"/>
      <c r="K144" s="125">
        <f>SUM(K140:K143)</f>
        <v>398</v>
      </c>
      <c r="L144" s="69"/>
      <c r="M144" s="70"/>
      <c r="N144" s="67"/>
      <c r="O144" s="71"/>
      <c r="P144" s="67"/>
      <c r="Q144" s="71"/>
      <c r="R144" s="21"/>
    </row>
    <row r="145" spans="2:18" s="1" customFormat="1" ht="29.25" customHeight="1" x14ac:dyDescent="0.25">
      <c r="B145" s="20"/>
      <c r="C145" s="161">
        <v>3</v>
      </c>
      <c r="D145" s="161" t="s">
        <v>74</v>
      </c>
      <c r="E145" s="162" t="s">
        <v>113</v>
      </c>
      <c r="F145" s="340" t="s">
        <v>136</v>
      </c>
      <c r="G145" s="344"/>
      <c r="H145" s="344"/>
      <c r="I145" s="344"/>
      <c r="J145" s="121" t="s">
        <v>76</v>
      </c>
      <c r="K145" s="72">
        <f>K150</f>
        <v>383</v>
      </c>
      <c r="L145" s="146"/>
      <c r="M145" s="109">
        <f>ROUND(L145*K145,2)</f>
        <v>0</v>
      </c>
      <c r="N145" s="79">
        <v>0</v>
      </c>
      <c r="O145" s="72">
        <f>N145*K145</f>
        <v>0</v>
      </c>
      <c r="P145" s="79">
        <v>0.27</v>
      </c>
      <c r="Q145" s="158">
        <f>P145*K145</f>
        <v>103.41000000000001</v>
      </c>
      <c r="R145" s="105"/>
    </row>
    <row r="146" spans="2:18" s="1" customFormat="1" ht="13.5" customHeight="1" x14ac:dyDescent="0.25">
      <c r="B146" s="68"/>
      <c r="C146" s="128"/>
      <c r="D146" s="128"/>
      <c r="E146" s="187" t="s">
        <v>125</v>
      </c>
      <c r="F146" s="236" t="s">
        <v>176</v>
      </c>
      <c r="G146" s="236"/>
      <c r="H146" s="236"/>
      <c r="I146" s="236"/>
      <c r="J146" s="236"/>
      <c r="K146" s="156">
        <f>118</f>
        <v>118</v>
      </c>
      <c r="L146" s="69"/>
      <c r="M146" s="70"/>
      <c r="N146" s="67"/>
      <c r="O146" s="71"/>
      <c r="P146" s="67"/>
      <c r="Q146" s="71"/>
      <c r="R146" s="21"/>
    </row>
    <row r="147" spans="2:18" s="1" customFormat="1" x14ac:dyDescent="0.25">
      <c r="B147" s="68"/>
      <c r="C147" s="128"/>
      <c r="D147" s="128"/>
      <c r="E147" s="187" t="s">
        <v>126</v>
      </c>
      <c r="F147" s="213" t="s">
        <v>177</v>
      </c>
      <c r="G147" s="213"/>
      <c r="H147" s="213"/>
      <c r="I147" s="213"/>
      <c r="J147" s="213"/>
      <c r="K147" s="134">
        <f>118+23*0.1</f>
        <v>120.3</v>
      </c>
      <c r="L147" s="69"/>
      <c r="M147" s="70"/>
      <c r="N147" s="67"/>
      <c r="O147" s="71"/>
      <c r="P147" s="67"/>
      <c r="Q147" s="71"/>
      <c r="R147" s="21"/>
    </row>
    <row r="148" spans="2:18" x14ac:dyDescent="0.3">
      <c r="B148" s="223"/>
      <c r="E148" s="187" t="s">
        <v>245</v>
      </c>
      <c r="F148" s="213" t="s">
        <v>286</v>
      </c>
      <c r="G148" s="189"/>
      <c r="H148" s="189"/>
      <c r="I148" s="189"/>
      <c r="J148" s="189"/>
      <c r="K148" s="134">
        <v>7</v>
      </c>
      <c r="R148" s="224"/>
    </row>
    <row r="149" spans="2:18" s="1" customFormat="1" x14ac:dyDescent="0.25">
      <c r="B149" s="68"/>
      <c r="C149" s="128"/>
      <c r="D149" s="128"/>
      <c r="E149" s="155" t="s">
        <v>143</v>
      </c>
      <c r="F149" s="188" t="s">
        <v>178</v>
      </c>
      <c r="G149" s="188"/>
      <c r="H149" s="188"/>
      <c r="I149" s="188"/>
      <c r="J149" s="188"/>
      <c r="K149" s="157">
        <f>7*0.1+137</f>
        <v>137.69999999999999</v>
      </c>
      <c r="L149" s="69"/>
      <c r="M149" s="70"/>
      <c r="N149" s="67"/>
      <c r="O149" s="71"/>
      <c r="P149" s="67"/>
      <c r="Q149" s="71"/>
      <c r="R149" s="21"/>
    </row>
    <row r="150" spans="2:18" s="1" customFormat="1" x14ac:dyDescent="0.25">
      <c r="B150" s="68"/>
      <c r="C150" s="128"/>
      <c r="D150" s="128"/>
      <c r="E150" s="154"/>
      <c r="F150" s="122"/>
      <c r="G150" s="123"/>
      <c r="H150" s="123"/>
      <c r="I150" s="123"/>
      <c r="J150" s="124"/>
      <c r="K150" s="125">
        <f>SUM(K146:K149)</f>
        <v>383</v>
      </c>
      <c r="L150" s="69"/>
      <c r="M150" s="70"/>
      <c r="N150" s="67"/>
      <c r="O150" s="71"/>
      <c r="P150" s="67"/>
      <c r="Q150" s="71"/>
      <c r="R150" s="21"/>
    </row>
    <row r="151" spans="2:18" s="1" customFormat="1" ht="27.75" customHeight="1" x14ac:dyDescent="0.25">
      <c r="B151" s="20"/>
      <c r="C151" s="161">
        <v>4</v>
      </c>
      <c r="D151" s="161" t="s">
        <v>74</v>
      </c>
      <c r="E151" s="162" t="s">
        <v>87</v>
      </c>
      <c r="F151" s="340" t="s">
        <v>88</v>
      </c>
      <c r="G151" s="344"/>
      <c r="H151" s="344"/>
      <c r="I151" s="344"/>
      <c r="J151" s="121" t="s">
        <v>75</v>
      </c>
      <c r="K151" s="72">
        <f>K155</f>
        <v>14.900000000000002</v>
      </c>
      <c r="L151" s="146"/>
      <c r="M151" s="109">
        <f>ROUND(L151*K151,2)</f>
        <v>0</v>
      </c>
      <c r="N151" s="79">
        <v>0</v>
      </c>
      <c r="O151" s="72">
        <f>N151*K151</f>
        <v>0</v>
      </c>
      <c r="P151" s="79">
        <v>0.11</v>
      </c>
      <c r="Q151" s="150">
        <f>P151*K151</f>
        <v>1.6390000000000002</v>
      </c>
      <c r="R151" s="105"/>
    </row>
    <row r="152" spans="2:18" s="1" customFormat="1" x14ac:dyDescent="0.25">
      <c r="B152" s="68"/>
      <c r="C152" s="128"/>
      <c r="D152" s="128"/>
      <c r="E152" s="187" t="s">
        <v>125</v>
      </c>
      <c r="F152" s="362"/>
      <c r="G152" s="362"/>
      <c r="H152" s="362"/>
      <c r="I152" s="362"/>
      <c r="J152" s="362"/>
      <c r="K152" s="217"/>
      <c r="L152" s="217"/>
      <c r="M152" s="217"/>
      <c r="N152" s="217"/>
      <c r="O152" s="217"/>
      <c r="P152" s="67"/>
      <c r="Q152" s="71"/>
      <c r="R152" s="21"/>
    </row>
    <row r="153" spans="2:18" s="1" customFormat="1" x14ac:dyDescent="0.25">
      <c r="B153" s="68"/>
      <c r="C153" s="128"/>
      <c r="D153" s="128"/>
      <c r="E153" s="187" t="s">
        <v>126</v>
      </c>
      <c r="F153" s="189" t="s">
        <v>162</v>
      </c>
      <c r="G153" s="189"/>
      <c r="H153" s="189"/>
      <c r="I153" s="189"/>
      <c r="J153" s="189"/>
      <c r="K153" s="235">
        <f>23*0.1</f>
        <v>2.3000000000000003</v>
      </c>
      <c r="L153" s="235"/>
      <c r="M153" s="235"/>
      <c r="N153" s="235"/>
      <c r="O153" s="235"/>
      <c r="P153" s="67"/>
      <c r="Q153" s="71"/>
      <c r="R153" s="21"/>
    </row>
    <row r="154" spans="2:18" s="1" customFormat="1" x14ac:dyDescent="0.25">
      <c r="B154" s="68"/>
      <c r="C154" s="128"/>
      <c r="D154" s="128"/>
      <c r="E154" s="155" t="s">
        <v>143</v>
      </c>
      <c r="F154" s="188" t="s">
        <v>163</v>
      </c>
      <c r="G154" s="153"/>
      <c r="H154" s="153"/>
      <c r="I154" s="153"/>
      <c r="J154" s="153"/>
      <c r="K154" s="238">
        <f>(7+119)*0.1</f>
        <v>12.600000000000001</v>
      </c>
      <c r="L154" s="218"/>
      <c r="M154" s="218"/>
      <c r="N154" s="218"/>
      <c r="O154" s="218"/>
      <c r="P154" s="67"/>
      <c r="Q154" s="71"/>
      <c r="R154" s="21"/>
    </row>
    <row r="155" spans="2:18" s="1" customFormat="1" x14ac:dyDescent="0.25">
      <c r="B155" s="68"/>
      <c r="C155" s="128"/>
      <c r="D155" s="128"/>
      <c r="E155" s="154"/>
      <c r="F155" s="122"/>
      <c r="G155" s="123"/>
      <c r="H155" s="123"/>
      <c r="I155" s="123"/>
      <c r="J155" s="124"/>
      <c r="K155" s="125">
        <f>SUM(K152:K154)</f>
        <v>14.900000000000002</v>
      </c>
      <c r="L155" s="193"/>
      <c r="M155" s="194"/>
      <c r="N155" s="214"/>
      <c r="O155" s="215"/>
      <c r="P155" s="67"/>
      <c r="Q155" s="71"/>
      <c r="R155" s="21"/>
    </row>
    <row r="156" spans="2:18" s="1" customFormat="1" ht="27.75" customHeight="1" x14ac:dyDescent="0.25">
      <c r="B156" s="20"/>
      <c r="C156" s="161">
        <v>5</v>
      </c>
      <c r="D156" s="161" t="s">
        <v>74</v>
      </c>
      <c r="E156" s="162" t="s">
        <v>155</v>
      </c>
      <c r="F156" s="340" t="s">
        <v>154</v>
      </c>
      <c r="G156" s="344"/>
      <c r="H156" s="344"/>
      <c r="I156" s="344"/>
      <c r="J156" s="121" t="s">
        <v>75</v>
      </c>
      <c r="K156" s="72">
        <f>K161</f>
        <v>47.210000000000008</v>
      </c>
      <c r="L156" s="146"/>
      <c r="M156" s="109">
        <f>ROUND(L156*K156,2)</f>
        <v>0</v>
      </c>
      <c r="N156" s="79">
        <v>0</v>
      </c>
      <c r="O156" s="72">
        <f>N156*K156</f>
        <v>0</v>
      </c>
      <c r="P156" s="79">
        <v>0.22</v>
      </c>
      <c r="Q156" s="150">
        <f>P156*K156</f>
        <v>10.386200000000002</v>
      </c>
      <c r="R156" s="105"/>
    </row>
    <row r="157" spans="2:18" s="1" customFormat="1" ht="13.5" customHeight="1" x14ac:dyDescent="0.25">
      <c r="B157" s="68"/>
      <c r="C157" s="128"/>
      <c r="D157" s="128"/>
      <c r="E157" s="258" t="s">
        <v>125</v>
      </c>
      <c r="F157" s="236" t="s">
        <v>170</v>
      </c>
      <c r="G157" s="236"/>
      <c r="H157" s="236"/>
      <c r="I157" s="236"/>
      <c r="J157" s="236"/>
      <c r="K157" s="156">
        <f>118*0.1+3*0.5</f>
        <v>13.3</v>
      </c>
      <c r="L157" s="69"/>
      <c r="M157" s="70"/>
      <c r="N157" s="67"/>
      <c r="O157" s="71"/>
      <c r="P157" s="67"/>
      <c r="Q157" s="71"/>
      <c r="R157" s="21"/>
    </row>
    <row r="158" spans="2:18" s="1" customFormat="1" x14ac:dyDescent="0.25">
      <c r="B158" s="68"/>
      <c r="C158" s="128"/>
      <c r="D158" s="128"/>
      <c r="E158" s="187" t="s">
        <v>126</v>
      </c>
      <c r="F158" s="213" t="s">
        <v>171</v>
      </c>
      <c r="G158" s="213"/>
      <c r="H158" s="213"/>
      <c r="I158" s="213"/>
      <c r="J158" s="213"/>
      <c r="K158" s="134">
        <f>118*0.1+7*0.5</f>
        <v>15.3</v>
      </c>
      <c r="L158" s="69"/>
      <c r="M158" s="70"/>
      <c r="N158" s="67"/>
      <c r="O158" s="71"/>
      <c r="P158" s="67"/>
      <c r="Q158" s="71"/>
      <c r="R158" s="21"/>
    </row>
    <row r="159" spans="2:18" s="1" customFormat="1" x14ac:dyDescent="0.25">
      <c r="B159" s="68"/>
      <c r="C159" s="128"/>
      <c r="D159" s="128"/>
      <c r="E159" s="187" t="s">
        <v>287</v>
      </c>
      <c r="F159" s="264" t="s">
        <v>288</v>
      </c>
      <c r="G159" s="265"/>
      <c r="H159" s="265"/>
      <c r="I159" s="265"/>
      <c r="J159" s="265"/>
      <c r="K159" s="134">
        <f>(1.5+2.5+0.1)*0.1</f>
        <v>0.41</v>
      </c>
      <c r="L159" s="69"/>
      <c r="M159" s="70"/>
      <c r="N159" s="67"/>
      <c r="O159" s="71"/>
      <c r="P159" s="67"/>
      <c r="Q159" s="71"/>
      <c r="R159" s="21"/>
    </row>
    <row r="160" spans="2:18" s="1" customFormat="1" x14ac:dyDescent="0.25">
      <c r="B160" s="68"/>
      <c r="C160" s="128"/>
      <c r="D160" s="128"/>
      <c r="E160" s="155" t="s">
        <v>143</v>
      </c>
      <c r="F160" s="188" t="s">
        <v>172</v>
      </c>
      <c r="G160" s="188"/>
      <c r="H160" s="188"/>
      <c r="I160" s="188"/>
      <c r="J160" s="188"/>
      <c r="K160" s="157">
        <f>137*0.1+9*0.5</f>
        <v>18.200000000000003</v>
      </c>
      <c r="L160" s="69"/>
      <c r="M160" s="70"/>
      <c r="N160" s="67"/>
      <c r="O160" s="71"/>
      <c r="P160" s="67"/>
      <c r="Q160" s="71"/>
      <c r="R160" s="21"/>
    </row>
    <row r="161" spans="2:18" s="1" customFormat="1" x14ac:dyDescent="0.25">
      <c r="B161" s="68"/>
      <c r="C161" s="128"/>
      <c r="D161" s="128"/>
      <c r="E161" s="154"/>
      <c r="F161" s="122"/>
      <c r="G161" s="123"/>
      <c r="H161" s="123"/>
      <c r="I161" s="123"/>
      <c r="J161" s="124"/>
      <c r="K161" s="125">
        <f>SUM(K157:K160)</f>
        <v>47.210000000000008</v>
      </c>
      <c r="L161" s="69"/>
      <c r="M161" s="70"/>
      <c r="N161" s="67"/>
      <c r="O161" s="71"/>
      <c r="P161" s="67"/>
      <c r="Q161" s="71"/>
      <c r="R161" s="21"/>
    </row>
    <row r="162" spans="2:18" s="1" customFormat="1" x14ac:dyDescent="0.25">
      <c r="B162" s="20"/>
      <c r="C162" s="161">
        <v>6</v>
      </c>
      <c r="D162" s="161" t="s">
        <v>74</v>
      </c>
      <c r="E162" s="269" t="s">
        <v>152</v>
      </c>
      <c r="F162" s="340" t="s">
        <v>153</v>
      </c>
      <c r="G162" s="344"/>
      <c r="H162" s="344"/>
      <c r="I162" s="344"/>
      <c r="J162" s="121" t="s">
        <v>75</v>
      </c>
      <c r="K162" s="72">
        <f>K166</f>
        <v>1416.85</v>
      </c>
      <c r="L162" s="146"/>
      <c r="M162" s="109">
        <f>ROUND(L162*K162,2)</f>
        <v>0</v>
      </c>
      <c r="N162" s="79">
        <v>4.0000000000000003E-5</v>
      </c>
      <c r="O162" s="72">
        <f>N162*K162</f>
        <v>5.6674000000000002E-2</v>
      </c>
      <c r="P162" s="79">
        <v>0.11</v>
      </c>
      <c r="Q162" s="150">
        <f>P162*K162</f>
        <v>155.8535</v>
      </c>
      <c r="R162" s="105"/>
    </row>
    <row r="163" spans="2:18" s="1" customFormat="1" ht="13.5" customHeight="1" x14ac:dyDescent="0.25">
      <c r="B163" s="20"/>
      <c r="C163" s="270"/>
      <c r="D163" s="270"/>
      <c r="E163" s="187" t="s">
        <v>125</v>
      </c>
      <c r="F163" s="236" t="s">
        <v>167</v>
      </c>
      <c r="G163" s="259"/>
      <c r="H163" s="259"/>
      <c r="I163" s="259"/>
      <c r="J163" s="259"/>
      <c r="K163" s="239">
        <f>(47.5+394)-(118*0.25)</f>
        <v>412</v>
      </c>
      <c r="L163" s="236"/>
      <c r="M163" s="236"/>
      <c r="N163" s="236"/>
      <c r="O163" s="236"/>
      <c r="P163" s="152"/>
      <c r="Q163" s="112"/>
      <c r="R163" s="21"/>
    </row>
    <row r="164" spans="2:18" s="1" customFormat="1" ht="13.5" customHeight="1" x14ac:dyDescent="0.25">
      <c r="B164" s="20"/>
      <c r="C164" s="270"/>
      <c r="D164" s="270"/>
      <c r="E164" s="187" t="s">
        <v>126</v>
      </c>
      <c r="F164" s="213" t="s">
        <v>168</v>
      </c>
      <c r="G164" s="213"/>
      <c r="H164" s="213"/>
      <c r="I164" s="213"/>
      <c r="J164" s="213"/>
      <c r="K164" s="240">
        <f>(47.5+463)-(23*0.1)-(118*0.25)</f>
        <v>478.7</v>
      </c>
      <c r="L164" s="213"/>
      <c r="M164" s="213"/>
      <c r="N164" s="213"/>
      <c r="O164" s="213"/>
      <c r="P164" s="152"/>
      <c r="Q164" s="112"/>
      <c r="R164" s="21"/>
    </row>
    <row r="165" spans="2:18" s="1" customFormat="1" x14ac:dyDescent="0.25">
      <c r="B165" s="20"/>
      <c r="C165" s="270"/>
      <c r="D165" s="270"/>
      <c r="E165" s="155" t="s">
        <v>143</v>
      </c>
      <c r="F165" s="188" t="s">
        <v>169</v>
      </c>
      <c r="G165" s="188"/>
      <c r="H165" s="188"/>
      <c r="I165" s="188"/>
      <c r="J165" s="188"/>
      <c r="K165" s="238">
        <f>573-((7+119)*0.1)-(137*0.25)</f>
        <v>526.15</v>
      </c>
      <c r="L165" s="152"/>
      <c r="M165" s="152"/>
      <c r="N165" s="152"/>
      <c r="O165" s="152"/>
      <c r="P165" s="152"/>
      <c r="Q165" s="112"/>
      <c r="R165" s="21"/>
    </row>
    <row r="166" spans="2:18" s="1" customFormat="1" x14ac:dyDescent="0.25">
      <c r="B166" s="68"/>
      <c r="C166" s="128"/>
      <c r="D166" s="128"/>
      <c r="E166" s="271"/>
      <c r="F166" s="122"/>
      <c r="G166" s="123"/>
      <c r="H166" s="123"/>
      <c r="I166" s="123"/>
      <c r="J166" s="124"/>
      <c r="K166" s="125">
        <f>SUM(K163:K165)</f>
        <v>1416.85</v>
      </c>
      <c r="L166" s="67"/>
      <c r="M166" s="67"/>
      <c r="N166" s="67"/>
      <c r="O166" s="67"/>
      <c r="P166" s="67"/>
      <c r="Q166" s="71"/>
      <c r="R166" s="21"/>
    </row>
    <row r="167" spans="2:18" s="1" customFormat="1" ht="29.25" customHeight="1" x14ac:dyDescent="0.25">
      <c r="B167" s="20"/>
      <c r="C167" s="161">
        <v>7</v>
      </c>
      <c r="D167" s="161" t="s">
        <v>74</v>
      </c>
      <c r="E167" s="162" t="s">
        <v>123</v>
      </c>
      <c r="F167" s="340" t="s">
        <v>124</v>
      </c>
      <c r="G167" s="344"/>
      <c r="H167" s="344"/>
      <c r="I167" s="344"/>
      <c r="J167" s="121" t="s">
        <v>75</v>
      </c>
      <c r="K167" s="72">
        <f>K175</f>
        <v>612.54</v>
      </c>
      <c r="L167" s="146"/>
      <c r="M167" s="109">
        <f>ROUND(L167*K167,2)</f>
        <v>0</v>
      </c>
      <c r="N167" s="79">
        <v>0</v>
      </c>
      <c r="O167" s="72">
        <f>N167*K167</f>
        <v>0</v>
      </c>
      <c r="P167" s="79">
        <v>0.22</v>
      </c>
      <c r="Q167" s="150">
        <f>P167*K167</f>
        <v>134.75879999999998</v>
      </c>
      <c r="R167" s="105"/>
    </row>
    <row r="168" spans="2:18" s="179" customFormat="1" ht="13.5" customHeight="1" x14ac:dyDescent="0.25">
      <c r="B168" s="180"/>
      <c r="C168" s="272"/>
      <c r="D168" s="273"/>
      <c r="E168" s="258" t="s">
        <v>125</v>
      </c>
      <c r="F168" s="362" t="s">
        <v>173</v>
      </c>
      <c r="G168" s="362"/>
      <c r="H168" s="362"/>
      <c r="I168" s="362"/>
      <c r="J168" s="362"/>
      <c r="K168" s="156">
        <f>177-(118*0.1+3*0.5)</f>
        <v>163.69999999999999</v>
      </c>
      <c r="L168" s="134"/>
      <c r="M168" s="181"/>
      <c r="N168" s="182"/>
      <c r="O168" s="134"/>
      <c r="P168" s="182"/>
      <c r="Q168" s="134"/>
      <c r="R168" s="183"/>
    </row>
    <row r="169" spans="2:18" s="179" customFormat="1" x14ac:dyDescent="0.25">
      <c r="B169" s="180"/>
      <c r="C169" s="272"/>
      <c r="D169" s="272"/>
      <c r="E169" s="187" t="s">
        <v>156</v>
      </c>
      <c r="F169" s="274" t="s">
        <v>165</v>
      </c>
      <c r="J169" s="275"/>
      <c r="K169" s="134">
        <f>118*0.25</f>
        <v>29.5</v>
      </c>
      <c r="L169" s="134"/>
      <c r="M169" s="181"/>
      <c r="N169" s="182"/>
      <c r="O169" s="134"/>
      <c r="P169" s="182"/>
      <c r="Q169" s="134"/>
      <c r="R169" s="183"/>
    </row>
    <row r="170" spans="2:18" s="179" customFormat="1" x14ac:dyDescent="0.25">
      <c r="B170" s="180"/>
      <c r="C170" s="272"/>
      <c r="D170" s="272"/>
      <c r="E170" s="276" t="s">
        <v>126</v>
      </c>
      <c r="F170" s="339" t="s">
        <v>174</v>
      </c>
      <c r="G170" s="339"/>
      <c r="H170" s="339"/>
      <c r="I170" s="339"/>
      <c r="J170" s="339"/>
      <c r="K170" s="134">
        <f>177-(118*0.1+4*0.5)</f>
        <v>163.19999999999999</v>
      </c>
      <c r="L170" s="134"/>
      <c r="M170" s="181"/>
      <c r="N170" s="182"/>
      <c r="O170" s="134"/>
      <c r="P170" s="182"/>
      <c r="Q170" s="134"/>
      <c r="R170" s="183"/>
    </row>
    <row r="171" spans="2:18" s="179" customFormat="1" x14ac:dyDescent="0.25">
      <c r="B171" s="180"/>
      <c r="C171" s="272"/>
      <c r="D171" s="272"/>
      <c r="E171" s="276" t="s">
        <v>157</v>
      </c>
      <c r="F171" s="274" t="s">
        <v>165</v>
      </c>
      <c r="J171" s="275"/>
      <c r="K171" s="134">
        <f>118*0.25</f>
        <v>29.5</v>
      </c>
      <c r="L171" s="134"/>
      <c r="M171" s="181"/>
      <c r="N171" s="182"/>
      <c r="O171" s="134"/>
      <c r="P171" s="182"/>
      <c r="Q171" s="134"/>
      <c r="R171" s="183"/>
    </row>
    <row r="172" spans="2:18" s="1" customFormat="1" x14ac:dyDescent="0.25">
      <c r="B172" s="68"/>
      <c r="C172" s="128"/>
      <c r="D172" s="128"/>
      <c r="E172" s="187" t="s">
        <v>287</v>
      </c>
      <c r="F172" s="264" t="s">
        <v>289</v>
      </c>
      <c r="G172" s="265"/>
      <c r="H172" s="265"/>
      <c r="I172" s="265"/>
      <c r="J172" s="265"/>
      <c r="K172" s="134">
        <f>(1*1.5)*2+0.8*2.5-(1.5+2.5+0.1)*0.1</f>
        <v>4.59</v>
      </c>
      <c r="L172" s="69"/>
      <c r="M172" s="70"/>
      <c r="N172" s="67"/>
      <c r="O172" s="71"/>
      <c r="P172" s="67"/>
      <c r="Q172" s="71"/>
      <c r="R172" s="21"/>
    </row>
    <row r="173" spans="2:18" s="179" customFormat="1" x14ac:dyDescent="0.25">
      <c r="B173" s="184"/>
      <c r="C173" s="277"/>
      <c r="D173" s="277"/>
      <c r="E173" s="276" t="s">
        <v>143</v>
      </c>
      <c r="F173" s="213" t="s">
        <v>175</v>
      </c>
      <c r="G173" s="189"/>
      <c r="H173" s="189"/>
      <c r="I173" s="189"/>
      <c r="J173" s="189"/>
      <c r="K173" s="134">
        <f>206-(137*0.1+9*0.5)</f>
        <v>187.8</v>
      </c>
      <c r="L173" s="185"/>
      <c r="M173" s="186"/>
      <c r="N173" s="182"/>
      <c r="O173" s="134"/>
      <c r="P173" s="182"/>
      <c r="Q173" s="134"/>
      <c r="R173" s="183"/>
    </row>
    <row r="174" spans="2:18" s="179" customFormat="1" x14ac:dyDescent="0.25">
      <c r="B174" s="184"/>
      <c r="C174" s="277"/>
      <c r="D174" s="277"/>
      <c r="E174" s="155" t="s">
        <v>164</v>
      </c>
      <c r="F174" s="153" t="s">
        <v>166</v>
      </c>
      <c r="G174" s="153"/>
      <c r="H174" s="153"/>
      <c r="I174" s="153"/>
      <c r="J174" s="153"/>
      <c r="K174" s="157">
        <f>137*0.25</f>
        <v>34.25</v>
      </c>
      <c r="L174" s="185"/>
      <c r="M174" s="186"/>
      <c r="N174" s="182"/>
      <c r="O174" s="134"/>
      <c r="P174" s="182"/>
      <c r="Q174" s="134"/>
      <c r="R174" s="183"/>
    </row>
    <row r="175" spans="2:18" s="1" customFormat="1" x14ac:dyDescent="0.25">
      <c r="B175" s="68"/>
      <c r="C175" s="128"/>
      <c r="D175" s="128"/>
      <c r="E175" s="154"/>
      <c r="F175" s="122"/>
      <c r="G175" s="123"/>
      <c r="H175" s="123"/>
      <c r="I175" s="123"/>
      <c r="J175" s="124"/>
      <c r="K175" s="125">
        <f>SUM(K168:K174)</f>
        <v>612.54</v>
      </c>
      <c r="L175" s="69"/>
      <c r="M175" s="70"/>
      <c r="N175" s="67"/>
      <c r="O175" s="71"/>
      <c r="P175" s="67"/>
      <c r="Q175" s="71"/>
      <c r="R175" s="21"/>
    </row>
    <row r="176" spans="2:18" s="1" customFormat="1" x14ac:dyDescent="0.25">
      <c r="B176" s="20"/>
      <c r="C176" s="163">
        <v>8</v>
      </c>
      <c r="D176" s="163" t="s">
        <v>74</v>
      </c>
      <c r="E176" s="278" t="s">
        <v>241</v>
      </c>
      <c r="F176" s="346" t="s">
        <v>242</v>
      </c>
      <c r="G176" s="347"/>
      <c r="H176" s="347"/>
      <c r="I176" s="347"/>
      <c r="J176" s="126" t="s">
        <v>75</v>
      </c>
      <c r="K176" s="73">
        <f>K179</f>
        <v>13.5</v>
      </c>
      <c r="L176" s="147"/>
      <c r="M176" s="110">
        <f>ROUND(L176*K176,2)</f>
        <v>0</v>
      </c>
      <c r="N176" s="80">
        <v>0</v>
      </c>
      <c r="O176" s="73">
        <f>N176*K176</f>
        <v>0</v>
      </c>
      <c r="P176" s="80">
        <v>0.22500000000000001</v>
      </c>
      <c r="Q176" s="250">
        <f>P176*K176</f>
        <v>3.0375000000000001</v>
      </c>
      <c r="R176" s="105"/>
    </row>
    <row r="177" spans="2:18" s="1" customFormat="1" x14ac:dyDescent="0.25">
      <c r="B177" s="20"/>
      <c r="C177" s="165">
        <v>9</v>
      </c>
      <c r="D177" s="165" t="s">
        <v>74</v>
      </c>
      <c r="E177" s="279" t="s">
        <v>243</v>
      </c>
      <c r="F177" s="342" t="s">
        <v>244</v>
      </c>
      <c r="G177" s="343"/>
      <c r="H177" s="343"/>
      <c r="I177" s="343"/>
      <c r="J177" s="127" t="s">
        <v>75</v>
      </c>
      <c r="K177" s="75">
        <f>K176/2</f>
        <v>6.75</v>
      </c>
      <c r="L177" s="149"/>
      <c r="M177" s="111">
        <f>ROUND(L177*K177,2)</f>
        <v>0</v>
      </c>
      <c r="N177" s="82">
        <v>0</v>
      </c>
      <c r="O177" s="75">
        <f>N177*K177</f>
        <v>0</v>
      </c>
      <c r="P177" s="82">
        <v>0.22</v>
      </c>
      <c r="Q177" s="249">
        <f>P177*K177</f>
        <v>1.4850000000000001</v>
      </c>
      <c r="R177" s="105"/>
    </row>
    <row r="178" spans="2:18" s="179" customFormat="1" ht="13.5" customHeight="1" x14ac:dyDescent="0.25">
      <c r="B178" s="180"/>
      <c r="C178" s="272"/>
      <c r="D178" s="272"/>
      <c r="E178" s="258" t="s">
        <v>245</v>
      </c>
      <c r="F178" s="362"/>
      <c r="G178" s="362"/>
      <c r="H178" s="362"/>
      <c r="I178" s="362"/>
      <c r="J178" s="362"/>
      <c r="K178" s="156">
        <v>13.5</v>
      </c>
      <c r="L178" s="134"/>
      <c r="M178" s="181"/>
      <c r="N178" s="182"/>
      <c r="O178" s="134"/>
      <c r="P178" s="182"/>
      <c r="Q178" s="134"/>
      <c r="R178" s="183"/>
    </row>
    <row r="179" spans="2:18" s="1" customFormat="1" x14ac:dyDescent="0.25">
      <c r="B179" s="68"/>
      <c r="C179" s="128"/>
      <c r="D179" s="128"/>
      <c r="E179" s="154"/>
      <c r="F179" s="122"/>
      <c r="G179" s="123"/>
      <c r="H179" s="123"/>
      <c r="I179" s="123"/>
      <c r="J179" s="124"/>
      <c r="K179" s="125">
        <f>SUM(K178:K178)</f>
        <v>13.5</v>
      </c>
      <c r="L179" s="69"/>
      <c r="M179" s="70"/>
      <c r="N179" s="67"/>
      <c r="O179" s="71"/>
      <c r="P179" s="67"/>
      <c r="Q179" s="71"/>
      <c r="R179" s="21"/>
    </row>
    <row r="180" spans="2:18" s="1" customFormat="1" x14ac:dyDescent="0.25">
      <c r="B180" s="20"/>
      <c r="C180" s="161">
        <v>10</v>
      </c>
      <c r="D180" s="161" t="s">
        <v>74</v>
      </c>
      <c r="E180" s="269" t="s">
        <v>211</v>
      </c>
      <c r="F180" s="340" t="s">
        <v>212</v>
      </c>
      <c r="G180" s="344"/>
      <c r="H180" s="344"/>
      <c r="I180" s="344"/>
      <c r="J180" s="121" t="s">
        <v>213</v>
      </c>
      <c r="K180" s="72">
        <f>K182</f>
        <v>1.44</v>
      </c>
      <c r="L180" s="146"/>
      <c r="M180" s="109">
        <f>ROUND(L180*K180,2)</f>
        <v>0</v>
      </c>
      <c r="N180" s="79">
        <v>0</v>
      </c>
      <c r="O180" s="72">
        <f>N180*K180</f>
        <v>0</v>
      </c>
      <c r="P180" s="79">
        <v>0</v>
      </c>
      <c r="Q180" s="72">
        <f>P180*K180</f>
        <v>0</v>
      </c>
      <c r="R180" s="105"/>
    </row>
    <row r="181" spans="2:18" s="179" customFormat="1" ht="13.5" customHeight="1" x14ac:dyDescent="0.25">
      <c r="B181" s="180"/>
      <c r="C181" s="272"/>
      <c r="D181" s="272"/>
      <c r="E181" s="258" t="s">
        <v>228</v>
      </c>
      <c r="F181" s="362" t="s">
        <v>216</v>
      </c>
      <c r="G181" s="362"/>
      <c r="H181" s="362"/>
      <c r="I181" s="362"/>
      <c r="J181" s="362"/>
      <c r="K181" s="156">
        <f>2.4*4*0.15</f>
        <v>1.44</v>
      </c>
      <c r="L181" s="134"/>
      <c r="M181" s="181"/>
      <c r="N181" s="182"/>
      <c r="O181" s="134"/>
      <c r="P181" s="182"/>
      <c r="Q181" s="134"/>
      <c r="R181" s="183"/>
    </row>
    <row r="182" spans="2:18" s="1" customFormat="1" x14ac:dyDescent="0.25">
      <c r="B182" s="68"/>
      <c r="C182" s="128"/>
      <c r="D182" s="128"/>
      <c r="E182" s="154"/>
      <c r="F182" s="122"/>
      <c r="G182" s="123"/>
      <c r="H182" s="123"/>
      <c r="I182" s="123"/>
      <c r="J182" s="124"/>
      <c r="K182" s="125">
        <f>SUM(K181)</f>
        <v>1.44</v>
      </c>
      <c r="L182" s="69"/>
      <c r="M182" s="70"/>
      <c r="N182" s="67"/>
      <c r="O182" s="71"/>
      <c r="P182" s="67"/>
      <c r="Q182" s="71"/>
      <c r="R182" s="21"/>
    </row>
    <row r="183" spans="2:18" s="1" customFormat="1" x14ac:dyDescent="0.25">
      <c r="B183" s="20"/>
      <c r="C183" s="161">
        <v>11</v>
      </c>
      <c r="D183" s="161" t="s">
        <v>74</v>
      </c>
      <c r="E183" s="269" t="s">
        <v>214</v>
      </c>
      <c r="F183" s="340" t="s">
        <v>215</v>
      </c>
      <c r="G183" s="344"/>
      <c r="H183" s="344"/>
      <c r="I183" s="344"/>
      <c r="J183" s="121" t="s">
        <v>75</v>
      </c>
      <c r="K183" s="72">
        <f>K185</f>
        <v>2.88</v>
      </c>
      <c r="L183" s="146"/>
      <c r="M183" s="109">
        <f>ROUND(L183*K183,2)</f>
        <v>0</v>
      </c>
      <c r="N183" s="79">
        <v>0</v>
      </c>
      <c r="O183" s="72">
        <f>N183*K183</f>
        <v>0</v>
      </c>
      <c r="P183" s="79">
        <v>0</v>
      </c>
      <c r="Q183" s="72">
        <f>P183*K183</f>
        <v>0</v>
      </c>
      <c r="R183" s="105"/>
    </row>
    <row r="184" spans="2:18" s="179" customFormat="1" ht="13.5" customHeight="1" x14ac:dyDescent="0.25">
      <c r="B184" s="180"/>
      <c r="C184" s="272"/>
      <c r="D184" s="272"/>
      <c r="E184" s="258" t="s">
        <v>228</v>
      </c>
      <c r="F184" s="362" t="s">
        <v>218</v>
      </c>
      <c r="G184" s="362"/>
      <c r="H184" s="362"/>
      <c r="I184" s="362"/>
      <c r="J184" s="362"/>
      <c r="K184" s="156">
        <f>2.4*(0.5+3+0.5)*0.3</f>
        <v>2.88</v>
      </c>
      <c r="L184" s="134"/>
      <c r="M184" s="181"/>
      <c r="N184" s="182"/>
      <c r="O184" s="134"/>
      <c r="P184" s="182"/>
      <c r="Q184" s="134"/>
      <c r="R184" s="183"/>
    </row>
    <row r="185" spans="2:18" s="1" customFormat="1" x14ac:dyDescent="0.25">
      <c r="B185" s="68"/>
      <c r="C185" s="128"/>
      <c r="D185" s="128"/>
      <c r="E185" s="154"/>
      <c r="F185" s="122"/>
      <c r="G185" s="123"/>
      <c r="H185" s="123"/>
      <c r="I185" s="123"/>
      <c r="J185" s="124"/>
      <c r="K185" s="125">
        <f>SUM(K184)</f>
        <v>2.88</v>
      </c>
      <c r="L185" s="69"/>
      <c r="M185" s="70"/>
      <c r="N185" s="67"/>
      <c r="O185" s="71"/>
      <c r="P185" s="67"/>
      <c r="Q185" s="71"/>
      <c r="R185" s="21"/>
    </row>
    <row r="186" spans="2:18" s="1" customFormat="1" x14ac:dyDescent="0.25">
      <c r="B186" s="20"/>
      <c r="C186" s="163">
        <v>12</v>
      </c>
      <c r="D186" s="163" t="s">
        <v>74</v>
      </c>
      <c r="E186" s="278" t="s">
        <v>234</v>
      </c>
      <c r="F186" s="346" t="s">
        <v>235</v>
      </c>
      <c r="G186" s="347"/>
      <c r="H186" s="347"/>
      <c r="I186" s="347"/>
      <c r="J186" s="126" t="s">
        <v>213</v>
      </c>
      <c r="K186" s="73">
        <f>K191</f>
        <v>2.16</v>
      </c>
      <c r="L186" s="147"/>
      <c r="M186" s="110">
        <f>ROUND(L186*K186,2)</f>
        <v>0</v>
      </c>
      <c r="N186" s="80">
        <v>0</v>
      </c>
      <c r="O186" s="73">
        <f>N186*K186</f>
        <v>0</v>
      </c>
      <c r="P186" s="80">
        <v>0</v>
      </c>
      <c r="Q186" s="73">
        <f>P186*K186</f>
        <v>0</v>
      </c>
      <c r="R186" s="105"/>
    </row>
    <row r="187" spans="2:18" s="1" customFormat="1" x14ac:dyDescent="0.25">
      <c r="B187" s="20"/>
      <c r="C187" s="167">
        <v>13</v>
      </c>
      <c r="D187" s="167" t="s">
        <v>74</v>
      </c>
      <c r="E187" s="280" t="s">
        <v>236</v>
      </c>
      <c r="F187" s="348" t="s">
        <v>237</v>
      </c>
      <c r="G187" s="349"/>
      <c r="H187" s="349"/>
      <c r="I187" s="349"/>
      <c r="J187" s="129" t="s">
        <v>213</v>
      </c>
      <c r="K187" s="74">
        <f>K186</f>
        <v>2.16</v>
      </c>
      <c r="L187" s="148"/>
      <c r="M187" s="102">
        <f>ROUND(L187*K187,2)</f>
        <v>0</v>
      </c>
      <c r="N187" s="81">
        <v>0</v>
      </c>
      <c r="O187" s="74">
        <f>N187*K187</f>
        <v>0</v>
      </c>
      <c r="P187" s="81">
        <v>0</v>
      </c>
      <c r="Q187" s="74">
        <f>P187*K187</f>
        <v>0</v>
      </c>
      <c r="R187" s="105"/>
    </row>
    <row r="188" spans="2:18" s="1" customFormat="1" x14ac:dyDescent="0.25">
      <c r="B188" s="20"/>
      <c r="C188" s="167">
        <v>14</v>
      </c>
      <c r="D188" s="167" t="s">
        <v>74</v>
      </c>
      <c r="E188" s="280" t="s">
        <v>238</v>
      </c>
      <c r="F188" s="348" t="s">
        <v>239</v>
      </c>
      <c r="G188" s="349"/>
      <c r="H188" s="349"/>
      <c r="I188" s="349"/>
      <c r="J188" s="129" t="s">
        <v>213</v>
      </c>
      <c r="K188" s="74">
        <f>K187*3</f>
        <v>6.48</v>
      </c>
      <c r="L188" s="148"/>
      <c r="M188" s="102">
        <f>ROUND(L188*K188,2)</f>
        <v>0</v>
      </c>
      <c r="N188" s="81">
        <v>0</v>
      </c>
      <c r="O188" s="74">
        <f>N188*K188</f>
        <v>0</v>
      </c>
      <c r="P188" s="81">
        <v>0</v>
      </c>
      <c r="Q188" s="74">
        <f>P188*K188</f>
        <v>0</v>
      </c>
      <c r="R188" s="105"/>
    </row>
    <row r="189" spans="2:18" s="1" customFormat="1" x14ac:dyDescent="0.25">
      <c r="B189" s="20"/>
      <c r="C189" s="165">
        <v>15</v>
      </c>
      <c r="D189" s="165" t="s">
        <v>74</v>
      </c>
      <c r="E189" s="279"/>
      <c r="F189" s="342" t="s">
        <v>240</v>
      </c>
      <c r="G189" s="343"/>
      <c r="H189" s="343"/>
      <c r="I189" s="343"/>
      <c r="J189" s="127" t="s">
        <v>78</v>
      </c>
      <c r="K189" s="75">
        <f>K188*2</f>
        <v>12.96</v>
      </c>
      <c r="L189" s="149"/>
      <c r="M189" s="111">
        <f>ROUND(L189*K189,2)</f>
        <v>0</v>
      </c>
      <c r="N189" s="82">
        <v>0</v>
      </c>
      <c r="O189" s="75">
        <f>N189*K189</f>
        <v>0</v>
      </c>
      <c r="P189" s="82">
        <v>0</v>
      </c>
      <c r="Q189" s="75">
        <f>P189*K189</f>
        <v>0</v>
      </c>
      <c r="R189" s="105"/>
    </row>
    <row r="190" spans="2:18" s="179" customFormat="1" ht="13.5" customHeight="1" x14ac:dyDescent="0.25">
      <c r="B190" s="180"/>
      <c r="C190" s="272"/>
      <c r="D190" s="272"/>
      <c r="E190" s="258" t="s">
        <v>228</v>
      </c>
      <c r="F190" s="362"/>
      <c r="G190" s="362"/>
      <c r="H190" s="362"/>
      <c r="I190" s="362"/>
      <c r="J190" s="362"/>
      <c r="K190" s="156">
        <f>K183-K192</f>
        <v>2.16</v>
      </c>
      <c r="L190" s="134"/>
      <c r="M190" s="181"/>
      <c r="N190" s="182"/>
      <c r="O190" s="134"/>
      <c r="P190" s="182"/>
      <c r="Q190" s="134"/>
      <c r="R190" s="183"/>
    </row>
    <row r="191" spans="2:18" s="1" customFormat="1" x14ac:dyDescent="0.25">
      <c r="B191" s="68"/>
      <c r="C191" s="128"/>
      <c r="D191" s="128"/>
      <c r="E191" s="154"/>
      <c r="F191" s="122"/>
      <c r="G191" s="123"/>
      <c r="H191" s="123"/>
      <c r="I191" s="123"/>
      <c r="J191" s="124"/>
      <c r="K191" s="125">
        <f>SUM(K190)</f>
        <v>2.16</v>
      </c>
      <c r="L191" s="69"/>
      <c r="M191" s="70"/>
      <c r="N191" s="67"/>
      <c r="O191" s="71"/>
      <c r="P191" s="67"/>
      <c r="Q191" s="71"/>
      <c r="R191" s="21"/>
    </row>
    <row r="192" spans="2:18" s="1" customFormat="1" x14ac:dyDescent="0.25">
      <c r="B192" s="20"/>
      <c r="C192" s="161">
        <v>16</v>
      </c>
      <c r="D192" s="161" t="s">
        <v>74</v>
      </c>
      <c r="E192" s="269" t="s">
        <v>229</v>
      </c>
      <c r="F192" s="340" t="s">
        <v>230</v>
      </c>
      <c r="G192" s="344"/>
      <c r="H192" s="344"/>
      <c r="I192" s="344"/>
      <c r="J192" s="121" t="s">
        <v>213</v>
      </c>
      <c r="K192" s="72">
        <f>K194</f>
        <v>0.72</v>
      </c>
      <c r="L192" s="146"/>
      <c r="M192" s="109">
        <f>ROUND(L192*K192,2)</f>
        <v>0</v>
      </c>
      <c r="N192" s="79">
        <v>0</v>
      </c>
      <c r="O192" s="72">
        <f>N192*K192</f>
        <v>0</v>
      </c>
      <c r="P192" s="79">
        <v>0</v>
      </c>
      <c r="Q192" s="72">
        <f>P192*K192</f>
        <v>0</v>
      </c>
      <c r="R192" s="105"/>
    </row>
    <row r="193" spans="2:18" s="179" customFormat="1" ht="13.5" customHeight="1" x14ac:dyDescent="0.25">
      <c r="B193" s="180"/>
      <c r="C193" s="272"/>
      <c r="D193" s="272"/>
      <c r="E193" s="258" t="s">
        <v>228</v>
      </c>
      <c r="F193" s="362" t="s">
        <v>231</v>
      </c>
      <c r="G193" s="362"/>
      <c r="H193" s="362"/>
      <c r="I193" s="362"/>
      <c r="J193" s="362"/>
      <c r="K193" s="156">
        <f>2.4*(0.5+0.5)*0.3</f>
        <v>0.72</v>
      </c>
      <c r="L193" s="134"/>
      <c r="M193" s="181"/>
      <c r="N193" s="182"/>
      <c r="O193" s="134"/>
      <c r="P193" s="182"/>
      <c r="Q193" s="134"/>
      <c r="R193" s="183"/>
    </row>
    <row r="194" spans="2:18" s="1" customFormat="1" x14ac:dyDescent="0.25">
      <c r="B194" s="68"/>
      <c r="C194" s="128"/>
      <c r="D194" s="128"/>
      <c r="E194" s="154"/>
      <c r="F194" s="122"/>
      <c r="G194" s="123"/>
      <c r="H194" s="123"/>
      <c r="I194" s="123"/>
      <c r="J194" s="124"/>
      <c r="K194" s="125">
        <f>SUM(K193)</f>
        <v>0.72</v>
      </c>
      <c r="L194" s="69"/>
      <c r="M194" s="70"/>
      <c r="N194" s="67"/>
      <c r="O194" s="71"/>
      <c r="P194" s="67"/>
      <c r="Q194" s="71"/>
      <c r="R194" s="21"/>
    </row>
    <row r="195" spans="2:18" s="1" customFormat="1" x14ac:dyDescent="0.25">
      <c r="B195" s="20"/>
      <c r="C195" s="161">
        <v>17</v>
      </c>
      <c r="D195" s="161" t="s">
        <v>74</v>
      </c>
      <c r="E195" s="269" t="s">
        <v>232</v>
      </c>
      <c r="F195" s="340" t="s">
        <v>233</v>
      </c>
      <c r="G195" s="344"/>
      <c r="H195" s="344"/>
      <c r="I195" s="344"/>
      <c r="J195" s="121" t="s">
        <v>75</v>
      </c>
      <c r="K195" s="72">
        <f>K197</f>
        <v>9.6</v>
      </c>
      <c r="L195" s="146"/>
      <c r="M195" s="109">
        <f>ROUND(L195*K195,2)</f>
        <v>0</v>
      </c>
      <c r="N195" s="79">
        <v>0</v>
      </c>
      <c r="O195" s="72">
        <f>N195*K195</f>
        <v>0</v>
      </c>
      <c r="P195" s="79">
        <v>0</v>
      </c>
      <c r="Q195" s="72">
        <f>P195*K195</f>
        <v>0</v>
      </c>
      <c r="R195" s="105"/>
    </row>
    <row r="196" spans="2:18" s="179" customFormat="1" ht="13.5" customHeight="1" x14ac:dyDescent="0.25">
      <c r="B196" s="180"/>
      <c r="C196" s="272"/>
      <c r="D196" s="272"/>
      <c r="E196" s="258" t="s">
        <v>228</v>
      </c>
      <c r="F196" s="362" t="s">
        <v>217</v>
      </c>
      <c r="G196" s="362"/>
      <c r="H196" s="362"/>
      <c r="I196" s="362"/>
      <c r="J196" s="362"/>
      <c r="K196" s="156">
        <f>2.4*(0.5+3+0.5)</f>
        <v>9.6</v>
      </c>
      <c r="L196" s="134"/>
      <c r="M196" s="181"/>
      <c r="N196" s="182"/>
      <c r="O196" s="134"/>
      <c r="P196" s="182"/>
      <c r="Q196" s="134"/>
      <c r="R196" s="183"/>
    </row>
    <row r="197" spans="2:18" s="1" customFormat="1" x14ac:dyDescent="0.25">
      <c r="B197" s="68"/>
      <c r="C197" s="128"/>
      <c r="D197" s="128"/>
      <c r="E197" s="154"/>
      <c r="F197" s="122"/>
      <c r="G197" s="123"/>
      <c r="H197" s="123"/>
      <c r="I197" s="123"/>
      <c r="J197" s="124"/>
      <c r="K197" s="125">
        <f>SUM(K196)</f>
        <v>9.6</v>
      </c>
      <c r="L197" s="69"/>
      <c r="M197" s="70"/>
      <c r="N197" s="67"/>
      <c r="O197" s="71"/>
      <c r="P197" s="67"/>
      <c r="Q197" s="71"/>
      <c r="R197" s="21"/>
    </row>
    <row r="198" spans="2:18" s="1" customFormat="1" x14ac:dyDescent="0.25">
      <c r="B198" s="20"/>
      <c r="C198" s="161">
        <v>18</v>
      </c>
      <c r="D198" s="161" t="s">
        <v>74</v>
      </c>
      <c r="E198" s="269" t="s">
        <v>219</v>
      </c>
      <c r="F198" s="340" t="s">
        <v>220</v>
      </c>
      <c r="G198" s="344"/>
      <c r="H198" s="344"/>
      <c r="I198" s="344"/>
      <c r="J198" s="121" t="s">
        <v>75</v>
      </c>
      <c r="K198" s="72">
        <f>K200</f>
        <v>9.6</v>
      </c>
      <c r="L198" s="146"/>
      <c r="M198" s="109">
        <f>ROUND(L198*K198,2)</f>
        <v>0</v>
      </c>
      <c r="N198" s="79">
        <v>0</v>
      </c>
      <c r="O198" s="72">
        <f>N198*K198</f>
        <v>0</v>
      </c>
      <c r="P198" s="79">
        <v>0</v>
      </c>
      <c r="Q198" s="72">
        <f>P198*K198</f>
        <v>0</v>
      </c>
      <c r="R198" s="105"/>
    </row>
    <row r="199" spans="2:18" s="179" customFormat="1" ht="13.5" customHeight="1" x14ac:dyDescent="0.25">
      <c r="B199" s="180"/>
      <c r="C199" s="272"/>
      <c r="D199" s="272"/>
      <c r="E199" s="258" t="s">
        <v>228</v>
      </c>
      <c r="F199" s="362" t="s">
        <v>217</v>
      </c>
      <c r="G199" s="362"/>
      <c r="H199" s="362"/>
      <c r="I199" s="362"/>
      <c r="J199" s="362"/>
      <c r="K199" s="156">
        <f>2.4*(0.5+3+0.5)</f>
        <v>9.6</v>
      </c>
      <c r="L199" s="134"/>
      <c r="M199" s="181"/>
      <c r="N199" s="182"/>
      <c r="O199" s="134"/>
      <c r="P199" s="182"/>
      <c r="Q199" s="134"/>
      <c r="R199" s="183"/>
    </row>
    <row r="200" spans="2:18" s="1" customFormat="1" x14ac:dyDescent="0.25">
      <c r="B200" s="68"/>
      <c r="C200" s="128"/>
      <c r="D200" s="128"/>
      <c r="E200" s="154"/>
      <c r="F200" s="122"/>
      <c r="G200" s="123"/>
      <c r="H200" s="123"/>
      <c r="I200" s="123"/>
      <c r="J200" s="124"/>
      <c r="K200" s="125">
        <f>SUM(K199)</f>
        <v>9.6</v>
      </c>
      <c r="L200" s="69"/>
      <c r="M200" s="70"/>
      <c r="N200" s="67"/>
      <c r="O200" s="71"/>
      <c r="P200" s="67"/>
      <c r="Q200" s="71"/>
      <c r="R200" s="21"/>
    </row>
    <row r="201" spans="2:18" s="99" customFormat="1" ht="15.75" x14ac:dyDescent="0.35">
      <c r="B201" s="98"/>
      <c r="D201" s="84" t="s">
        <v>65</v>
      </c>
      <c r="E201" s="84"/>
      <c r="F201" s="84"/>
      <c r="G201" s="84"/>
      <c r="H201" s="84"/>
      <c r="I201" s="84"/>
      <c r="J201" s="84"/>
      <c r="K201" s="84"/>
      <c r="L201" s="84"/>
      <c r="M201" s="108">
        <f>SUM(M202:M263)</f>
        <v>0</v>
      </c>
      <c r="O201" s="254">
        <f>SUM(O202:O263)</f>
        <v>739.21879624999997</v>
      </c>
      <c r="P201" s="255"/>
      <c r="Q201" s="254">
        <f>SUM(Q202:Q263)</f>
        <v>0</v>
      </c>
      <c r="R201" s="104"/>
    </row>
    <row r="202" spans="2:18" s="1" customFormat="1" x14ac:dyDescent="0.25">
      <c r="B202" s="20"/>
      <c r="C202" s="161">
        <v>19</v>
      </c>
      <c r="D202" s="161" t="s">
        <v>74</v>
      </c>
      <c r="E202" s="162" t="s">
        <v>132</v>
      </c>
      <c r="F202" s="340" t="s">
        <v>133</v>
      </c>
      <c r="G202" s="340"/>
      <c r="H202" s="340"/>
      <c r="I202" s="340"/>
      <c r="J202" s="121" t="s">
        <v>78</v>
      </c>
      <c r="K202" s="72">
        <f>0.25*(O204+O214)</f>
        <v>89.392466249999998</v>
      </c>
      <c r="L202" s="146"/>
      <c r="M202" s="109">
        <f>ROUND(L202*K202,2)</f>
        <v>0</v>
      </c>
      <c r="N202" s="79">
        <v>1</v>
      </c>
      <c r="O202" s="72">
        <f>N202*K202</f>
        <v>89.392466249999998</v>
      </c>
      <c r="P202" s="79">
        <v>0</v>
      </c>
      <c r="Q202" s="72">
        <f>P202*K202</f>
        <v>0</v>
      </c>
      <c r="R202" s="105"/>
    </row>
    <row r="203" spans="2:18" s="1" customFormat="1" ht="27" customHeight="1" x14ac:dyDescent="0.25">
      <c r="B203" s="20"/>
      <c r="C203" s="281">
        <v>20</v>
      </c>
      <c r="D203" s="281" t="s">
        <v>74</v>
      </c>
      <c r="E203" s="282" t="s">
        <v>128</v>
      </c>
      <c r="F203" s="358" t="s">
        <v>129</v>
      </c>
      <c r="G203" s="358"/>
      <c r="H203" s="358"/>
      <c r="I203" s="358"/>
      <c r="J203" s="283" t="s">
        <v>75</v>
      </c>
      <c r="K203" s="200">
        <f>K212</f>
        <v>667.75</v>
      </c>
      <c r="L203" s="147"/>
      <c r="M203" s="201">
        <f>ROUND(L203*K203,2)</f>
        <v>0</v>
      </c>
      <c r="N203" s="202">
        <v>6.9999999999999999E-4</v>
      </c>
      <c r="O203" s="200">
        <f>N203*K203</f>
        <v>0.46742499999999998</v>
      </c>
      <c r="P203" s="202">
        <v>0</v>
      </c>
      <c r="Q203" s="200">
        <f>P203*K203</f>
        <v>0</v>
      </c>
      <c r="R203" s="105"/>
    </row>
    <row r="204" spans="2:18" s="1" customFormat="1" ht="13.5" customHeight="1" x14ac:dyDescent="0.25">
      <c r="B204" s="20"/>
      <c r="C204" s="165">
        <v>21</v>
      </c>
      <c r="D204" s="165" t="s">
        <v>74</v>
      </c>
      <c r="E204" s="166" t="s">
        <v>131</v>
      </c>
      <c r="F204" s="342" t="s">
        <v>159</v>
      </c>
      <c r="G204" s="343"/>
      <c r="H204" s="343"/>
      <c r="I204" s="343"/>
      <c r="J204" s="127" t="s">
        <v>75</v>
      </c>
      <c r="K204" s="75">
        <f>K212</f>
        <v>667.75</v>
      </c>
      <c r="L204" s="149"/>
      <c r="M204" s="111">
        <f>ROUND(L204*K204,2)</f>
        <v>0</v>
      </c>
      <c r="N204" s="82">
        <v>0.12966</v>
      </c>
      <c r="O204" s="75">
        <f>N204*K204</f>
        <v>86.580465000000004</v>
      </c>
      <c r="P204" s="82">
        <v>0</v>
      </c>
      <c r="Q204" s="75">
        <f>P204*K204</f>
        <v>0</v>
      </c>
      <c r="R204" s="105"/>
    </row>
    <row r="205" spans="2:18" s="1" customFormat="1" x14ac:dyDescent="0.25">
      <c r="B205" s="20"/>
      <c r="C205" s="270"/>
      <c r="D205" s="284"/>
      <c r="E205" s="258" t="s">
        <v>125</v>
      </c>
      <c r="F205" s="359" t="s">
        <v>184</v>
      </c>
      <c r="G205" s="359"/>
      <c r="H205" s="359"/>
      <c r="I205" s="359"/>
      <c r="J205" s="359"/>
      <c r="K205" s="156">
        <f>177+3*0.5</f>
        <v>178.5</v>
      </c>
      <c r="L205" s="87"/>
      <c r="M205" s="87"/>
      <c r="N205" s="152"/>
      <c r="O205" s="112"/>
      <c r="P205" s="152"/>
      <c r="Q205" s="112"/>
      <c r="R205" s="21"/>
    </row>
    <row r="206" spans="2:18" s="1" customFormat="1" x14ac:dyDescent="0.25">
      <c r="B206" s="20"/>
      <c r="C206" s="270"/>
      <c r="D206" s="270"/>
      <c r="E206" s="187" t="s">
        <v>156</v>
      </c>
      <c r="F206" s="341" t="s">
        <v>165</v>
      </c>
      <c r="G206" s="341"/>
      <c r="H206" s="341"/>
      <c r="I206" s="341"/>
      <c r="J206" s="341"/>
      <c r="K206" s="134">
        <f>118*0.25</f>
        <v>29.5</v>
      </c>
      <c r="L206" s="87"/>
      <c r="M206" s="87"/>
      <c r="N206" s="152"/>
      <c r="O206" s="112"/>
      <c r="P206" s="152"/>
      <c r="Q206" s="112"/>
      <c r="R206" s="21"/>
    </row>
    <row r="207" spans="2:18" s="1" customFormat="1" x14ac:dyDescent="0.25">
      <c r="B207" s="20"/>
      <c r="C207" s="270"/>
      <c r="D207" s="270"/>
      <c r="E207" s="187" t="s">
        <v>126</v>
      </c>
      <c r="F207" s="285" t="s">
        <v>185</v>
      </c>
      <c r="G207" s="285"/>
      <c r="H207" s="285"/>
      <c r="I207" s="285"/>
      <c r="J207" s="285"/>
      <c r="K207" s="134">
        <f>177+7*0.5</f>
        <v>180.5</v>
      </c>
      <c r="L207" s="87"/>
      <c r="M207" s="87"/>
      <c r="N207" s="152"/>
      <c r="O207" s="112"/>
      <c r="P207" s="152"/>
      <c r="Q207" s="112"/>
      <c r="R207" s="21"/>
    </row>
    <row r="208" spans="2:18" s="1" customFormat="1" x14ac:dyDescent="0.25">
      <c r="B208" s="20"/>
      <c r="C208" s="270"/>
      <c r="D208" s="270"/>
      <c r="E208" s="187" t="s">
        <v>157</v>
      </c>
      <c r="F208" s="285" t="s">
        <v>165</v>
      </c>
      <c r="G208" s="285"/>
      <c r="H208" s="285"/>
      <c r="I208" s="285"/>
      <c r="J208" s="285"/>
      <c r="K208" s="134">
        <f>118*0.25</f>
        <v>29.5</v>
      </c>
      <c r="L208" s="87"/>
      <c r="M208" s="87"/>
      <c r="N208" s="152"/>
      <c r="O208" s="112"/>
      <c r="P208" s="152"/>
      <c r="Q208" s="112"/>
      <c r="R208" s="21"/>
    </row>
    <row r="209" spans="2:18" s="1" customFormat="1" x14ac:dyDescent="0.25">
      <c r="B209" s="68"/>
      <c r="C209" s="128"/>
      <c r="D209" s="128"/>
      <c r="E209" s="187" t="s">
        <v>287</v>
      </c>
      <c r="F209" s="264" t="s">
        <v>285</v>
      </c>
      <c r="G209" s="265"/>
      <c r="H209" s="265"/>
      <c r="I209" s="265"/>
      <c r="J209" s="265"/>
      <c r="K209" s="134">
        <f>(1*1.5)*2+0.8*2.5</f>
        <v>5</v>
      </c>
      <c r="L209" s="69"/>
      <c r="M209" s="70"/>
      <c r="N209" s="67"/>
      <c r="O209" s="71"/>
      <c r="P209" s="67"/>
      <c r="Q209" s="71"/>
      <c r="R209" s="21"/>
    </row>
    <row r="210" spans="2:18" s="1" customFormat="1" x14ac:dyDescent="0.25">
      <c r="B210" s="20"/>
      <c r="C210" s="270"/>
      <c r="D210" s="270"/>
      <c r="E210" s="276" t="s">
        <v>143</v>
      </c>
      <c r="F210" s="285" t="s">
        <v>186</v>
      </c>
      <c r="G210" s="285"/>
      <c r="H210" s="285"/>
      <c r="I210" s="285"/>
      <c r="J210" s="285"/>
      <c r="K210" s="134">
        <f>206+9*0.5</f>
        <v>210.5</v>
      </c>
      <c r="L210" s="87"/>
      <c r="M210" s="87"/>
      <c r="N210" s="152"/>
      <c r="O210" s="112"/>
      <c r="P210" s="152"/>
      <c r="Q210" s="112"/>
      <c r="R210" s="21"/>
    </row>
    <row r="211" spans="2:18" s="1" customFormat="1" x14ac:dyDescent="0.25">
      <c r="B211" s="20"/>
      <c r="C211" s="270"/>
      <c r="D211" s="270"/>
      <c r="E211" s="260" t="s">
        <v>164</v>
      </c>
      <c r="F211" s="286" t="s">
        <v>166</v>
      </c>
      <c r="G211" s="286"/>
      <c r="H211" s="286"/>
      <c r="I211" s="286"/>
      <c r="J211" s="286"/>
      <c r="K211" s="157">
        <f>137*0.25</f>
        <v>34.25</v>
      </c>
      <c r="L211" s="87"/>
      <c r="M211" s="87"/>
      <c r="N211" s="152"/>
      <c r="O211" s="112"/>
      <c r="P211" s="152"/>
      <c r="Q211" s="112"/>
      <c r="R211" s="21"/>
    </row>
    <row r="212" spans="2:18" s="1" customFormat="1" x14ac:dyDescent="0.25">
      <c r="B212" s="68"/>
      <c r="C212" s="128"/>
      <c r="D212" s="128"/>
      <c r="E212" s="154"/>
      <c r="F212" s="122"/>
      <c r="G212" s="123"/>
      <c r="H212" s="123"/>
      <c r="I212" s="123"/>
      <c r="J212" s="124"/>
      <c r="K212" s="125">
        <f>SUM(K205:K211)</f>
        <v>667.75</v>
      </c>
      <c r="L212" s="69"/>
      <c r="M212" s="70"/>
      <c r="N212" s="67"/>
      <c r="O212" s="71"/>
      <c r="P212" s="67"/>
      <c r="Q212" s="71"/>
      <c r="R212" s="21"/>
    </row>
    <row r="213" spans="2:18" s="1" customFormat="1" ht="27" customHeight="1" x14ac:dyDescent="0.25">
      <c r="B213" s="20"/>
      <c r="C213" s="163">
        <v>22</v>
      </c>
      <c r="D213" s="163" t="s">
        <v>74</v>
      </c>
      <c r="E213" s="164" t="s">
        <v>128</v>
      </c>
      <c r="F213" s="346" t="s">
        <v>129</v>
      </c>
      <c r="G213" s="346"/>
      <c r="H213" s="346"/>
      <c r="I213" s="346"/>
      <c r="J213" s="126" t="s">
        <v>75</v>
      </c>
      <c r="K213" s="73">
        <f>K219</f>
        <v>2090</v>
      </c>
      <c r="L213" s="147"/>
      <c r="M213" s="110">
        <f>ROUND(L213*K213,2)</f>
        <v>0</v>
      </c>
      <c r="N213" s="80">
        <v>6.9999999999999999E-4</v>
      </c>
      <c r="O213" s="73">
        <f>N213*K213</f>
        <v>1.4630000000000001</v>
      </c>
      <c r="P213" s="80">
        <v>0</v>
      </c>
      <c r="Q213" s="73">
        <f>P213*K213</f>
        <v>0</v>
      </c>
      <c r="R213" s="105"/>
    </row>
    <row r="214" spans="2:18" s="1" customFormat="1" ht="13.5" customHeight="1" x14ac:dyDescent="0.25">
      <c r="B214" s="20"/>
      <c r="C214" s="165">
        <v>23</v>
      </c>
      <c r="D214" s="165" t="s">
        <v>74</v>
      </c>
      <c r="E214" s="166" t="s">
        <v>130</v>
      </c>
      <c r="F214" s="342" t="s">
        <v>160</v>
      </c>
      <c r="G214" s="343"/>
      <c r="H214" s="343"/>
      <c r="I214" s="343"/>
      <c r="J214" s="127" t="s">
        <v>75</v>
      </c>
      <c r="K214" s="75">
        <f>K219</f>
        <v>2090</v>
      </c>
      <c r="L214" s="149"/>
      <c r="M214" s="111">
        <f>ROUND(L214*K214,2)</f>
        <v>0</v>
      </c>
      <c r="N214" s="82">
        <v>0.12966</v>
      </c>
      <c r="O214" s="75">
        <f>N214*K214</f>
        <v>270.98939999999999</v>
      </c>
      <c r="P214" s="82">
        <v>0</v>
      </c>
      <c r="Q214" s="75">
        <f>P214*K214</f>
        <v>0</v>
      </c>
      <c r="R214" s="105"/>
    </row>
    <row r="215" spans="2:18" s="1" customFormat="1" x14ac:dyDescent="0.25">
      <c r="B215" s="20"/>
      <c r="C215" s="270"/>
      <c r="D215" s="270"/>
      <c r="E215" s="258" t="s">
        <v>125</v>
      </c>
      <c r="F215" s="359" t="s">
        <v>181</v>
      </c>
      <c r="G215" s="359"/>
      <c r="H215" s="359"/>
      <c r="I215" s="359"/>
      <c r="J215" s="359"/>
      <c r="K215" s="156">
        <f>47.5+394+177</f>
        <v>618.5</v>
      </c>
      <c r="L215" s="87"/>
      <c r="M215" s="87"/>
      <c r="N215" s="152"/>
      <c r="O215" s="112"/>
      <c r="P215" s="152"/>
      <c r="Q215" s="112"/>
      <c r="R215" s="21"/>
    </row>
    <row r="216" spans="2:18" s="1" customFormat="1" x14ac:dyDescent="0.25">
      <c r="B216" s="20"/>
      <c r="C216" s="270"/>
      <c r="D216" s="270"/>
      <c r="E216" s="187" t="s">
        <v>126</v>
      </c>
      <c r="F216" s="285" t="s">
        <v>182</v>
      </c>
      <c r="G216" s="285"/>
      <c r="H216" s="285"/>
      <c r="I216" s="285"/>
      <c r="J216" s="285"/>
      <c r="K216" s="134">
        <f>47.5+463+177</f>
        <v>687.5</v>
      </c>
      <c r="L216" s="87"/>
      <c r="M216" s="87"/>
      <c r="N216" s="152"/>
      <c r="O216" s="112"/>
      <c r="P216" s="152"/>
      <c r="Q216" s="112"/>
      <c r="R216" s="21"/>
    </row>
    <row r="217" spans="2:18" s="1" customFormat="1" x14ac:dyDescent="0.25">
      <c r="B217" s="68"/>
      <c r="C217" s="128"/>
      <c r="D217" s="128"/>
      <c r="E217" s="187" t="s">
        <v>287</v>
      </c>
      <c r="F217" s="264" t="s">
        <v>285</v>
      </c>
      <c r="G217" s="265"/>
      <c r="H217" s="265"/>
      <c r="I217" s="265"/>
      <c r="J217" s="265"/>
      <c r="K217" s="134">
        <f>(1*1.5)*2+0.8*2.5</f>
        <v>5</v>
      </c>
      <c r="L217" s="69"/>
      <c r="M217" s="70"/>
      <c r="N217" s="67"/>
      <c r="O217" s="71"/>
      <c r="P217" s="67"/>
      <c r="Q217" s="71"/>
      <c r="R217" s="21"/>
    </row>
    <row r="218" spans="2:18" s="1" customFormat="1" x14ac:dyDescent="0.25">
      <c r="B218" s="20"/>
      <c r="C218" s="270"/>
      <c r="D218" s="270"/>
      <c r="E218" s="155" t="s">
        <v>143</v>
      </c>
      <c r="F218" s="286" t="s">
        <v>183</v>
      </c>
      <c r="G218" s="286"/>
      <c r="H218" s="286"/>
      <c r="I218" s="286"/>
      <c r="J218" s="286"/>
      <c r="K218" s="157">
        <f>573+206</f>
        <v>779</v>
      </c>
      <c r="L218" s="87"/>
      <c r="M218" s="87"/>
      <c r="N218" s="152"/>
      <c r="O218" s="112"/>
      <c r="P218" s="152"/>
      <c r="Q218" s="112"/>
      <c r="R218" s="21"/>
    </row>
    <row r="219" spans="2:18" s="1" customFormat="1" x14ac:dyDescent="0.25">
      <c r="B219" s="68"/>
      <c r="C219" s="128"/>
      <c r="D219" s="128"/>
      <c r="E219" s="154"/>
      <c r="F219" s="122"/>
      <c r="G219" s="123"/>
      <c r="H219" s="123"/>
      <c r="I219" s="123"/>
      <c r="J219" s="124"/>
      <c r="K219" s="125">
        <f>SUM(K215:K218)</f>
        <v>2090</v>
      </c>
      <c r="L219" s="69"/>
      <c r="M219" s="70"/>
      <c r="N219" s="67"/>
      <c r="O219" s="71"/>
      <c r="P219" s="67"/>
      <c r="Q219" s="71"/>
      <c r="R219" s="21"/>
    </row>
    <row r="220" spans="2:18" s="1" customFormat="1" x14ac:dyDescent="0.25">
      <c r="B220" s="20"/>
      <c r="C220" s="161">
        <v>24</v>
      </c>
      <c r="D220" s="161" t="s">
        <v>74</v>
      </c>
      <c r="E220" s="162" t="s">
        <v>194</v>
      </c>
      <c r="F220" s="340" t="s">
        <v>195</v>
      </c>
      <c r="G220" s="340"/>
      <c r="H220" s="340"/>
      <c r="I220" s="340"/>
      <c r="J220" s="121" t="s">
        <v>75</v>
      </c>
      <c r="K220" s="72">
        <f>K228</f>
        <v>378.25</v>
      </c>
      <c r="L220" s="146"/>
      <c r="M220" s="109">
        <f>ROUND(L220*K220,2)</f>
        <v>0</v>
      </c>
      <c r="N220" s="79">
        <v>0.23</v>
      </c>
      <c r="O220" s="72">
        <f>N220*K220</f>
        <v>86.997500000000002</v>
      </c>
      <c r="P220" s="79">
        <v>0</v>
      </c>
      <c r="Q220" s="72">
        <f>P220*K220</f>
        <v>0</v>
      </c>
      <c r="R220" s="105"/>
    </row>
    <row r="221" spans="2:18" s="1" customFormat="1" x14ac:dyDescent="0.25">
      <c r="B221" s="20"/>
      <c r="C221" s="270"/>
      <c r="D221" s="270"/>
      <c r="E221" s="187" t="s">
        <v>125</v>
      </c>
      <c r="F221" s="341" t="s">
        <v>196</v>
      </c>
      <c r="G221" s="341"/>
      <c r="H221" s="341"/>
      <c r="I221" s="341"/>
      <c r="J221" s="341"/>
      <c r="K221" s="134">
        <f>177*0.5</f>
        <v>88.5</v>
      </c>
      <c r="L221" s="87"/>
      <c r="M221" s="87"/>
      <c r="N221" s="152"/>
      <c r="O221" s="112"/>
      <c r="P221" s="152"/>
      <c r="Q221" s="112"/>
      <c r="R221" s="21"/>
    </row>
    <row r="222" spans="2:18" s="1" customFormat="1" x14ac:dyDescent="0.25">
      <c r="B222" s="20"/>
      <c r="C222" s="270"/>
      <c r="D222" s="270"/>
      <c r="E222" s="187" t="s">
        <v>156</v>
      </c>
      <c r="F222" s="341" t="s">
        <v>165</v>
      </c>
      <c r="G222" s="341"/>
      <c r="H222" s="341"/>
      <c r="I222" s="341"/>
      <c r="J222" s="341"/>
      <c r="K222" s="134">
        <f>118*0.25</f>
        <v>29.5</v>
      </c>
      <c r="L222" s="87"/>
      <c r="M222" s="87"/>
      <c r="N222" s="152"/>
      <c r="O222" s="112"/>
      <c r="P222" s="152"/>
      <c r="Q222" s="112"/>
      <c r="R222" s="21"/>
    </row>
    <row r="223" spans="2:18" s="1" customFormat="1" x14ac:dyDescent="0.25">
      <c r="B223" s="20"/>
      <c r="C223" s="270"/>
      <c r="D223" s="270"/>
      <c r="E223" s="187" t="s">
        <v>126</v>
      </c>
      <c r="F223" s="285" t="s">
        <v>196</v>
      </c>
      <c r="G223" s="285"/>
      <c r="H223" s="285"/>
      <c r="I223" s="285"/>
      <c r="J223" s="285"/>
      <c r="K223" s="134">
        <f>177*0.5</f>
        <v>88.5</v>
      </c>
      <c r="L223" s="87"/>
      <c r="M223" s="87"/>
      <c r="N223" s="152"/>
      <c r="O223" s="112"/>
      <c r="P223" s="152"/>
      <c r="Q223" s="112"/>
      <c r="R223" s="21"/>
    </row>
    <row r="224" spans="2:18" s="1" customFormat="1" x14ac:dyDescent="0.25">
      <c r="B224" s="68"/>
      <c r="C224" s="128"/>
      <c r="D224" s="128"/>
      <c r="E224" s="187" t="s">
        <v>157</v>
      </c>
      <c r="F224" s="285" t="s">
        <v>165</v>
      </c>
      <c r="G224" s="285"/>
      <c r="H224" s="285"/>
      <c r="I224" s="285"/>
      <c r="J224" s="285"/>
      <c r="K224" s="134">
        <f>118*0.25</f>
        <v>29.5</v>
      </c>
      <c r="L224" s="69"/>
      <c r="M224" s="70"/>
      <c r="N224" s="67"/>
      <c r="O224" s="71"/>
      <c r="P224" s="67"/>
      <c r="Q224" s="71"/>
      <c r="R224" s="21"/>
    </row>
    <row r="225" spans="2:19" s="1" customFormat="1" x14ac:dyDescent="0.25">
      <c r="B225" s="68"/>
      <c r="C225" s="128"/>
      <c r="D225" s="128"/>
      <c r="E225" s="187" t="s">
        <v>287</v>
      </c>
      <c r="F225" s="264" t="s">
        <v>285</v>
      </c>
      <c r="G225" s="265"/>
      <c r="H225" s="265"/>
      <c r="I225" s="265"/>
      <c r="J225" s="265"/>
      <c r="K225" s="134">
        <f>(1*1.5)*2+0.8*2.5</f>
        <v>5</v>
      </c>
      <c r="L225" s="69"/>
      <c r="M225" s="70"/>
      <c r="N225" s="67"/>
      <c r="O225" s="71"/>
      <c r="P225" s="67"/>
      <c r="Q225" s="71"/>
      <c r="R225" s="21"/>
    </row>
    <row r="226" spans="2:19" s="1" customFormat="1" x14ac:dyDescent="0.25">
      <c r="B226" s="68"/>
      <c r="C226" s="128"/>
      <c r="D226" s="128"/>
      <c r="E226" s="276" t="s">
        <v>143</v>
      </c>
      <c r="F226" s="285" t="s">
        <v>206</v>
      </c>
      <c r="G226" s="285"/>
      <c r="H226" s="285"/>
      <c r="I226" s="285"/>
      <c r="J226" s="285"/>
      <c r="K226" s="134">
        <f>206*0.5</f>
        <v>103</v>
      </c>
      <c r="L226" s="69"/>
      <c r="M226" s="70"/>
      <c r="N226" s="67"/>
      <c r="O226" s="71"/>
      <c r="P226" s="67"/>
      <c r="Q226" s="71"/>
      <c r="R226" s="21"/>
    </row>
    <row r="227" spans="2:19" s="1" customFormat="1" x14ac:dyDescent="0.25">
      <c r="B227" s="68"/>
      <c r="C227" s="128"/>
      <c r="D227" s="128"/>
      <c r="E227" s="260" t="s">
        <v>164</v>
      </c>
      <c r="F227" s="286" t="s">
        <v>166</v>
      </c>
      <c r="G227" s="286"/>
      <c r="H227" s="286"/>
      <c r="I227" s="286"/>
      <c r="J227" s="286"/>
      <c r="K227" s="157">
        <f>137*0.25</f>
        <v>34.25</v>
      </c>
      <c r="L227" s="69"/>
      <c r="M227" s="70"/>
      <c r="N227" s="67"/>
      <c r="O227" s="71"/>
      <c r="P227" s="67"/>
      <c r="Q227" s="71"/>
      <c r="R227" s="21"/>
    </row>
    <row r="228" spans="2:19" s="1" customFormat="1" x14ac:dyDescent="0.25">
      <c r="B228" s="68"/>
      <c r="C228" s="128"/>
      <c r="D228" s="128"/>
      <c r="E228" s="154"/>
      <c r="F228" s="122"/>
      <c r="G228" s="123"/>
      <c r="H228" s="123"/>
      <c r="I228" s="123"/>
      <c r="J228" s="124"/>
      <c r="K228" s="125">
        <f>SUM(K221:K227)</f>
        <v>378.25</v>
      </c>
      <c r="L228" s="69"/>
      <c r="M228" s="70"/>
      <c r="N228" s="67"/>
      <c r="O228" s="71"/>
      <c r="P228" s="67"/>
      <c r="Q228" s="71"/>
      <c r="R228" s="21"/>
    </row>
    <row r="229" spans="2:19" s="1" customFormat="1" x14ac:dyDescent="0.25">
      <c r="B229" s="20"/>
      <c r="C229" s="161">
        <v>25</v>
      </c>
      <c r="D229" s="161" t="s">
        <v>74</v>
      </c>
      <c r="E229" s="162" t="s">
        <v>119</v>
      </c>
      <c r="F229" s="340" t="s">
        <v>120</v>
      </c>
      <c r="G229" s="340"/>
      <c r="H229" s="340"/>
      <c r="I229" s="340"/>
      <c r="J229" s="121" t="s">
        <v>76</v>
      </c>
      <c r="K229" s="72">
        <f>K234</f>
        <v>408</v>
      </c>
      <c r="L229" s="146"/>
      <c r="M229" s="109">
        <f>ROUND(L229*K229,2)</f>
        <v>0</v>
      </c>
      <c r="N229" s="79">
        <v>0.10249999999999999</v>
      </c>
      <c r="O229" s="72">
        <f>N229*K229</f>
        <v>41.82</v>
      </c>
      <c r="P229" s="79">
        <v>0</v>
      </c>
      <c r="Q229" s="72">
        <f>P229*K229</f>
        <v>0</v>
      </c>
      <c r="R229" s="105"/>
    </row>
    <row r="230" spans="2:19" s="1" customFormat="1" x14ac:dyDescent="0.25">
      <c r="B230" s="68"/>
      <c r="C230" s="128"/>
      <c r="D230" s="128"/>
      <c r="E230" s="187" t="s">
        <v>125</v>
      </c>
      <c r="F230" s="264" t="s">
        <v>199</v>
      </c>
      <c r="G230" s="264"/>
      <c r="H230" s="264"/>
      <c r="I230" s="264"/>
      <c r="J230" s="264"/>
      <c r="K230" s="134">
        <f>118+8+4</f>
        <v>130</v>
      </c>
      <c r="L230" s="69"/>
      <c r="M230" s="70"/>
      <c r="N230" s="67"/>
      <c r="O230" s="71"/>
      <c r="P230" s="67"/>
      <c r="Q230" s="71"/>
      <c r="R230" s="21"/>
    </row>
    <row r="231" spans="2:19" s="1" customFormat="1" x14ac:dyDescent="0.25">
      <c r="B231" s="68"/>
      <c r="C231" s="128"/>
      <c r="D231" s="128"/>
      <c r="E231" s="187" t="s">
        <v>126</v>
      </c>
      <c r="F231" s="213" t="s">
        <v>204</v>
      </c>
      <c r="G231" s="213"/>
      <c r="H231" s="213"/>
      <c r="I231" s="213"/>
      <c r="J231" s="213"/>
      <c r="K231" s="134">
        <f>118+23*0.1+6+7</f>
        <v>133.30000000000001</v>
      </c>
      <c r="L231" s="69"/>
      <c r="M231" s="70"/>
      <c r="N231" s="67"/>
      <c r="O231" s="71"/>
      <c r="P231" s="67"/>
      <c r="Q231" s="71"/>
      <c r="R231" s="21"/>
    </row>
    <row r="232" spans="2:19" x14ac:dyDescent="0.3">
      <c r="B232" s="223"/>
      <c r="E232" s="187" t="s">
        <v>245</v>
      </c>
      <c r="F232" s="213" t="s">
        <v>286</v>
      </c>
      <c r="G232" s="189"/>
      <c r="H232" s="189"/>
      <c r="I232" s="189"/>
      <c r="J232" s="189"/>
      <c r="K232" s="134">
        <v>7</v>
      </c>
      <c r="R232" s="224"/>
    </row>
    <row r="233" spans="2:19" s="1" customFormat="1" x14ac:dyDescent="0.25">
      <c r="B233" s="68"/>
      <c r="C233" s="128"/>
      <c r="D233" s="128"/>
      <c r="E233" s="155" t="s">
        <v>143</v>
      </c>
      <c r="F233" s="188" t="s">
        <v>178</v>
      </c>
      <c r="G233" s="188"/>
      <c r="H233" s="188"/>
      <c r="I233" s="188"/>
      <c r="J233" s="188"/>
      <c r="K233" s="157">
        <f>137+7*0.1</f>
        <v>137.69999999999999</v>
      </c>
      <c r="L233" s="69"/>
      <c r="M233" s="70"/>
      <c r="N233" s="67"/>
      <c r="O233" s="71"/>
      <c r="P233" s="67"/>
      <c r="Q233" s="71"/>
      <c r="R233" s="21"/>
    </row>
    <row r="234" spans="2:19" s="1" customFormat="1" x14ac:dyDescent="0.25">
      <c r="B234" s="68"/>
      <c r="C234" s="128"/>
      <c r="D234" s="128"/>
      <c r="E234" s="154"/>
      <c r="F234" s="122"/>
      <c r="G234" s="123"/>
      <c r="H234" s="123"/>
      <c r="I234" s="123"/>
      <c r="J234" s="124"/>
      <c r="K234" s="125">
        <f>SUM(K230:K233)</f>
        <v>408</v>
      </c>
      <c r="L234" s="69"/>
      <c r="M234" s="70"/>
      <c r="N234" s="67"/>
      <c r="O234" s="71"/>
      <c r="P234" s="67"/>
      <c r="Q234" s="71"/>
      <c r="R234" s="21"/>
    </row>
    <row r="235" spans="2:19" s="1" customFormat="1" x14ac:dyDescent="0.25">
      <c r="B235" s="139"/>
      <c r="C235" s="287">
        <v>26</v>
      </c>
      <c r="D235" s="287" t="s">
        <v>121</v>
      </c>
      <c r="E235" s="288"/>
      <c r="F235" s="360" t="s">
        <v>122</v>
      </c>
      <c r="G235" s="360"/>
      <c r="H235" s="360"/>
      <c r="I235" s="360"/>
      <c r="J235" s="289" t="s">
        <v>77</v>
      </c>
      <c r="K235" s="241">
        <f>ROUNDUP((K229-K236-K237)*1.025,0)</f>
        <v>378</v>
      </c>
      <c r="L235" s="229"/>
      <c r="M235" s="230">
        <f>ROUND(L235*K235,2)</f>
        <v>0</v>
      </c>
      <c r="N235" s="231">
        <v>0.08</v>
      </c>
      <c r="O235" s="232">
        <f>N235*K235</f>
        <v>30.240000000000002</v>
      </c>
      <c r="P235" s="231">
        <v>0</v>
      </c>
      <c r="Q235" s="232">
        <f>P235*K235</f>
        <v>0</v>
      </c>
      <c r="R235" s="141"/>
      <c r="S235" s="159"/>
    </row>
    <row r="236" spans="2:19" s="1" customFormat="1" ht="28.5" customHeight="1" x14ac:dyDescent="0.25">
      <c r="B236" s="139"/>
      <c r="C236" s="290">
        <v>27</v>
      </c>
      <c r="D236" s="290" t="s">
        <v>121</v>
      </c>
      <c r="E236" s="291"/>
      <c r="F236" s="357" t="s">
        <v>137</v>
      </c>
      <c r="G236" s="357"/>
      <c r="H236" s="357"/>
      <c r="I236" s="357"/>
      <c r="J236" s="292" t="s">
        <v>77</v>
      </c>
      <c r="K236" s="243">
        <f>8+4+6+7+3+3+3</f>
        <v>34</v>
      </c>
      <c r="L236" s="244"/>
      <c r="M236" s="245">
        <f>ROUND(L236*K236,2)</f>
        <v>0</v>
      </c>
      <c r="N236" s="246">
        <v>4.8000000000000001E-2</v>
      </c>
      <c r="O236" s="247">
        <f>N236*K236</f>
        <v>1.6320000000000001</v>
      </c>
      <c r="P236" s="246">
        <v>0</v>
      </c>
      <c r="Q236" s="247">
        <f>P236*K236</f>
        <v>0</v>
      </c>
      <c r="R236" s="141"/>
      <c r="S236" s="159"/>
    </row>
    <row r="237" spans="2:19" s="1" customFormat="1" x14ac:dyDescent="0.25">
      <c r="B237" s="139"/>
      <c r="C237" s="266">
        <v>28</v>
      </c>
      <c r="D237" s="266" t="s">
        <v>121</v>
      </c>
      <c r="E237" s="267"/>
      <c r="F237" s="361" t="s">
        <v>210</v>
      </c>
      <c r="G237" s="361"/>
      <c r="H237" s="361"/>
      <c r="I237" s="361"/>
      <c r="J237" s="268" t="s">
        <v>77</v>
      </c>
      <c r="K237" s="242">
        <f>2+2+2</f>
        <v>6</v>
      </c>
      <c r="L237" s="197"/>
      <c r="M237" s="199">
        <f>ROUND(L237*K237,2)</f>
        <v>0</v>
      </c>
      <c r="N237" s="198">
        <v>4.8000000000000001E-2</v>
      </c>
      <c r="O237" s="196">
        <f>N237*K237</f>
        <v>0.28800000000000003</v>
      </c>
      <c r="P237" s="198">
        <v>0</v>
      </c>
      <c r="Q237" s="196">
        <f>P237*K237</f>
        <v>0</v>
      </c>
      <c r="R237" s="141"/>
      <c r="S237" s="159"/>
    </row>
    <row r="238" spans="2:19" s="1" customFormat="1" x14ac:dyDescent="0.25">
      <c r="B238" s="68"/>
      <c r="C238" s="128"/>
      <c r="D238" s="128"/>
      <c r="E238" s="187"/>
      <c r="F238" s="339" t="s">
        <v>158</v>
      </c>
      <c r="G238" s="339"/>
      <c r="H238" s="339"/>
      <c r="I238" s="339"/>
      <c r="J238" s="339"/>
      <c r="K238" s="134"/>
      <c r="L238" s="69"/>
      <c r="M238" s="70"/>
      <c r="N238" s="67"/>
      <c r="O238" s="71"/>
      <c r="P238" s="67"/>
      <c r="Q238" s="71"/>
      <c r="R238" s="21"/>
    </row>
    <row r="239" spans="2:19" s="1" customFormat="1" x14ac:dyDescent="0.25">
      <c r="B239" s="20"/>
      <c r="C239" s="163">
        <v>29</v>
      </c>
      <c r="D239" s="163" t="s">
        <v>74</v>
      </c>
      <c r="E239" s="164" t="s">
        <v>119</v>
      </c>
      <c r="F239" s="346" t="s">
        <v>120</v>
      </c>
      <c r="G239" s="346"/>
      <c r="H239" s="346"/>
      <c r="I239" s="346"/>
      <c r="J239" s="126" t="s">
        <v>76</v>
      </c>
      <c r="K239" s="73">
        <f>K242</f>
        <v>5.4</v>
      </c>
      <c r="L239" s="147"/>
      <c r="M239" s="110">
        <f>ROUND(L239*K239,2)</f>
        <v>0</v>
      </c>
      <c r="N239" s="80">
        <v>0.10249999999999999</v>
      </c>
      <c r="O239" s="73">
        <f>N239*K239</f>
        <v>0.55349999999999999</v>
      </c>
      <c r="P239" s="80">
        <v>0</v>
      </c>
      <c r="Q239" s="73">
        <f>P239*K239</f>
        <v>0</v>
      </c>
      <c r="R239" s="105"/>
    </row>
    <row r="240" spans="2:19" s="1" customFormat="1" x14ac:dyDescent="0.25">
      <c r="B240" s="139"/>
      <c r="C240" s="266">
        <v>30</v>
      </c>
      <c r="D240" s="266" t="s">
        <v>121</v>
      </c>
      <c r="E240" s="267"/>
      <c r="F240" s="361" t="s">
        <v>221</v>
      </c>
      <c r="G240" s="361"/>
      <c r="H240" s="361"/>
      <c r="I240" s="361"/>
      <c r="J240" s="268" t="s">
        <v>77</v>
      </c>
      <c r="K240" s="242">
        <f>5+3</f>
        <v>8</v>
      </c>
      <c r="L240" s="197"/>
      <c r="M240" s="199">
        <f>ROUND(L240*K240,2)</f>
        <v>0</v>
      </c>
      <c r="N240" s="198">
        <v>4.2999999999999997E-2</v>
      </c>
      <c r="O240" s="196">
        <f>N240*K240</f>
        <v>0.34399999999999997</v>
      </c>
      <c r="P240" s="198">
        <v>0</v>
      </c>
      <c r="Q240" s="196">
        <f>P240*K240</f>
        <v>0</v>
      </c>
      <c r="R240" s="141"/>
      <c r="S240" s="159"/>
    </row>
    <row r="241" spans="2:19" s="1" customFormat="1" x14ac:dyDescent="0.25">
      <c r="B241" s="68"/>
      <c r="C241" s="128"/>
      <c r="D241" s="128"/>
      <c r="E241" s="258" t="s">
        <v>228</v>
      </c>
      <c r="F241" s="188" t="s">
        <v>222</v>
      </c>
      <c r="G241" s="188"/>
      <c r="H241" s="188"/>
      <c r="I241" s="188"/>
      <c r="J241" s="188"/>
      <c r="K241" s="157">
        <f>2.4+3</f>
        <v>5.4</v>
      </c>
      <c r="L241" s="69"/>
      <c r="M241" s="70"/>
      <c r="N241" s="67"/>
      <c r="O241" s="71"/>
      <c r="P241" s="67"/>
      <c r="Q241" s="71"/>
      <c r="R241" s="21"/>
    </row>
    <row r="242" spans="2:19" s="1" customFormat="1" x14ac:dyDescent="0.25">
      <c r="B242" s="68"/>
      <c r="C242" s="128"/>
      <c r="D242" s="128"/>
      <c r="E242" s="154"/>
      <c r="F242" s="122"/>
      <c r="G242" s="123"/>
      <c r="H242" s="123"/>
      <c r="I242" s="123"/>
      <c r="J242" s="124"/>
      <c r="K242" s="125">
        <f>SUM(K241:K241)</f>
        <v>5.4</v>
      </c>
      <c r="L242" s="69"/>
      <c r="M242" s="70"/>
      <c r="N242" s="67"/>
      <c r="O242" s="71"/>
      <c r="P242" s="67"/>
      <c r="Q242" s="71"/>
      <c r="R242" s="21"/>
    </row>
    <row r="243" spans="2:19" s="1" customFormat="1" x14ac:dyDescent="0.25">
      <c r="B243" s="68"/>
      <c r="C243" s="128"/>
      <c r="D243" s="128"/>
      <c r="E243" s="187"/>
      <c r="F243" s="189"/>
      <c r="G243" s="189"/>
      <c r="H243" s="189"/>
      <c r="I243" s="189"/>
      <c r="J243" s="189"/>
      <c r="K243" s="134"/>
      <c r="L243" s="69"/>
      <c r="M243" s="70"/>
      <c r="N243" s="67"/>
      <c r="O243" s="71"/>
      <c r="P243" s="67"/>
      <c r="Q243" s="71"/>
      <c r="R243" s="21"/>
    </row>
    <row r="244" spans="2:19" s="1" customFormat="1" x14ac:dyDescent="0.25">
      <c r="B244" s="20"/>
      <c r="C244" s="163">
        <v>31</v>
      </c>
      <c r="D244" s="163" t="s">
        <v>74</v>
      </c>
      <c r="E244" s="164" t="s">
        <v>190</v>
      </c>
      <c r="F244" s="346" t="s">
        <v>191</v>
      </c>
      <c r="G244" s="346"/>
      <c r="H244" s="346"/>
      <c r="I244" s="346"/>
      <c r="J244" s="126" t="s">
        <v>75</v>
      </c>
      <c r="K244" s="73">
        <f>K250</f>
        <v>7.1999999999999993</v>
      </c>
      <c r="L244" s="147"/>
      <c r="M244" s="110">
        <f>ROUND(L244*K244,2)</f>
        <v>0</v>
      </c>
      <c r="N244" s="80">
        <v>0.46</v>
      </c>
      <c r="O244" s="73">
        <f>N244*K244</f>
        <v>3.3119999999999998</v>
      </c>
      <c r="P244" s="80">
        <v>0</v>
      </c>
      <c r="Q244" s="73">
        <f>P244*K244</f>
        <v>0</v>
      </c>
      <c r="R244" s="105"/>
    </row>
    <row r="245" spans="2:19" s="1" customFormat="1" x14ac:dyDescent="0.25">
      <c r="B245" s="20"/>
      <c r="C245" s="167">
        <v>32</v>
      </c>
      <c r="D245" s="167" t="s">
        <v>74</v>
      </c>
      <c r="E245" s="168" t="s">
        <v>224</v>
      </c>
      <c r="F245" s="348" t="s">
        <v>225</v>
      </c>
      <c r="G245" s="348"/>
      <c r="H245" s="348"/>
      <c r="I245" s="348"/>
      <c r="J245" s="129" t="s">
        <v>75</v>
      </c>
      <c r="K245" s="74">
        <f>K244</f>
        <v>7.1999999999999993</v>
      </c>
      <c r="L245" s="148"/>
      <c r="M245" s="102">
        <f>ROUND(L245*K245,2)</f>
        <v>0</v>
      </c>
      <c r="N245" s="81">
        <v>7.3899999999999993E-2</v>
      </c>
      <c r="O245" s="74">
        <f>N245*K245</f>
        <v>0.53207999999999989</v>
      </c>
      <c r="P245" s="81">
        <v>0</v>
      </c>
      <c r="Q245" s="74">
        <f>P245*K245</f>
        <v>0</v>
      </c>
      <c r="R245" s="105"/>
    </row>
    <row r="246" spans="2:19" s="1" customFormat="1" x14ac:dyDescent="0.25">
      <c r="B246" s="139"/>
      <c r="C246" s="290">
        <v>33</v>
      </c>
      <c r="D246" s="290" t="s">
        <v>121</v>
      </c>
      <c r="E246" s="291"/>
      <c r="F246" s="357" t="s">
        <v>226</v>
      </c>
      <c r="G246" s="357"/>
      <c r="H246" s="357"/>
      <c r="I246" s="357"/>
      <c r="J246" s="292" t="s">
        <v>75</v>
      </c>
      <c r="K246" s="243">
        <f>(2.4-0.4)*3+11.7</f>
        <v>17.7</v>
      </c>
      <c r="L246" s="244"/>
      <c r="M246" s="245">
        <f t="shared" ref="M246:M247" si="0">ROUND(L246*K246,2)</f>
        <v>0</v>
      </c>
      <c r="N246" s="246">
        <v>0.126</v>
      </c>
      <c r="O246" s="247">
        <f t="shared" ref="O246:O247" si="1">N246*K246</f>
        <v>2.2302</v>
      </c>
      <c r="P246" s="246">
        <v>0</v>
      </c>
      <c r="Q246" s="247">
        <f t="shared" ref="Q246:Q247" si="2">P246*K246</f>
        <v>0</v>
      </c>
      <c r="R246" s="141"/>
      <c r="S246" s="159"/>
    </row>
    <row r="247" spans="2:19" s="1" customFormat="1" ht="28.5" customHeight="1" x14ac:dyDescent="0.25">
      <c r="B247" s="139"/>
      <c r="C247" s="266">
        <v>34</v>
      </c>
      <c r="D247" s="266" t="s">
        <v>121</v>
      </c>
      <c r="E247" s="267"/>
      <c r="F247" s="361" t="s">
        <v>227</v>
      </c>
      <c r="G247" s="361"/>
      <c r="H247" s="361"/>
      <c r="I247" s="361"/>
      <c r="J247" s="268" t="s">
        <v>77</v>
      </c>
      <c r="K247" s="242">
        <f>1.5+1.8</f>
        <v>3.3</v>
      </c>
      <c r="L247" s="197"/>
      <c r="M247" s="199">
        <f t="shared" si="0"/>
        <v>0</v>
      </c>
      <c r="N247" s="198">
        <v>0.128</v>
      </c>
      <c r="O247" s="196">
        <f t="shared" si="1"/>
        <v>0.4224</v>
      </c>
      <c r="P247" s="198">
        <v>0</v>
      </c>
      <c r="Q247" s="196">
        <f t="shared" si="2"/>
        <v>0</v>
      </c>
      <c r="R247" s="141"/>
      <c r="S247" s="159"/>
    </row>
    <row r="248" spans="2:19" s="1" customFormat="1" x14ac:dyDescent="0.25">
      <c r="B248" s="20"/>
      <c r="C248" s="270"/>
      <c r="D248" s="270"/>
      <c r="E248" s="258" t="s">
        <v>228</v>
      </c>
      <c r="F248" s="359" t="s">
        <v>223</v>
      </c>
      <c r="G248" s="359"/>
      <c r="H248" s="359"/>
      <c r="I248" s="359"/>
      <c r="J248" s="359"/>
      <c r="K248" s="156">
        <f>2.4*3</f>
        <v>7.1999999999999993</v>
      </c>
      <c r="L248" s="87"/>
      <c r="M248" s="87"/>
      <c r="N248" s="152"/>
      <c r="O248" s="112"/>
      <c r="P248" s="152"/>
      <c r="Q248" s="112"/>
      <c r="R248" s="21"/>
    </row>
    <row r="249" spans="2:19" s="1" customFormat="1" x14ac:dyDescent="0.25">
      <c r="B249" s="20"/>
      <c r="C249" s="270"/>
      <c r="D249" s="270"/>
      <c r="E249" s="260" t="s">
        <v>245</v>
      </c>
      <c r="F249" s="363"/>
      <c r="G249" s="363"/>
      <c r="H249" s="363"/>
      <c r="I249" s="363"/>
      <c r="J249" s="363"/>
      <c r="K249" s="157">
        <v>13.5</v>
      </c>
      <c r="L249" s="87"/>
      <c r="M249" s="87"/>
      <c r="N249" s="152"/>
      <c r="O249" s="112"/>
      <c r="P249" s="152"/>
      <c r="Q249" s="112"/>
      <c r="R249" s="21"/>
    </row>
    <row r="250" spans="2:19" s="1" customFormat="1" x14ac:dyDescent="0.25">
      <c r="B250" s="68"/>
      <c r="C250" s="128"/>
      <c r="D250" s="128"/>
      <c r="E250" s="154"/>
      <c r="F250" s="122"/>
      <c r="G250" s="123"/>
      <c r="H250" s="123"/>
      <c r="I250" s="123"/>
      <c r="J250" s="124"/>
      <c r="K250" s="125">
        <f>SUM(K248:K248)</f>
        <v>7.1999999999999993</v>
      </c>
      <c r="L250" s="69"/>
      <c r="M250" s="70"/>
      <c r="N250" s="67"/>
      <c r="O250" s="71"/>
      <c r="P250" s="67"/>
      <c r="Q250" s="71"/>
      <c r="R250" s="21"/>
    </row>
    <row r="251" spans="2:19" s="1" customFormat="1" x14ac:dyDescent="0.25">
      <c r="B251" s="20"/>
      <c r="C251" s="161">
        <v>35</v>
      </c>
      <c r="D251" s="161" t="s">
        <v>74</v>
      </c>
      <c r="E251" s="162" t="s">
        <v>114</v>
      </c>
      <c r="F251" s="340" t="s">
        <v>115</v>
      </c>
      <c r="G251" s="340"/>
      <c r="H251" s="340"/>
      <c r="I251" s="340"/>
      <c r="J251" s="121" t="s">
        <v>76</v>
      </c>
      <c r="K251" s="72">
        <f>K256</f>
        <v>573</v>
      </c>
      <c r="L251" s="146"/>
      <c r="M251" s="109">
        <f>ROUND(L251*K251,2)</f>
        <v>0</v>
      </c>
      <c r="N251" s="79">
        <v>8.2320000000000004E-2</v>
      </c>
      <c r="O251" s="72">
        <f>N251*K251</f>
        <v>47.169360000000005</v>
      </c>
      <c r="P251" s="79">
        <v>0</v>
      </c>
      <c r="Q251" s="72">
        <f>P251*K251</f>
        <v>0</v>
      </c>
      <c r="R251" s="105"/>
    </row>
    <row r="252" spans="2:19" s="1" customFormat="1" ht="13.5" customHeight="1" x14ac:dyDescent="0.25">
      <c r="B252" s="68"/>
      <c r="C252" s="128"/>
      <c r="D252" s="128"/>
      <c r="E252" s="187" t="s">
        <v>125</v>
      </c>
      <c r="F252" s="264" t="s">
        <v>187</v>
      </c>
      <c r="G252" s="264"/>
      <c r="H252" s="264"/>
      <c r="I252" s="264"/>
      <c r="J252" s="264"/>
      <c r="K252" s="134">
        <f>118+95</f>
        <v>213</v>
      </c>
      <c r="L252" s="69"/>
      <c r="M252" s="70"/>
      <c r="N252" s="67"/>
      <c r="O252" s="71"/>
      <c r="P252" s="67"/>
      <c r="Q252" s="71"/>
      <c r="R252" s="21"/>
    </row>
    <row r="253" spans="2:19" s="1" customFormat="1" ht="13.5" customHeight="1" x14ac:dyDescent="0.25">
      <c r="B253" s="68"/>
      <c r="C253" s="128"/>
      <c r="D253" s="128"/>
      <c r="E253" s="187" t="s">
        <v>126</v>
      </c>
      <c r="F253" s="213" t="s">
        <v>188</v>
      </c>
      <c r="G253" s="213"/>
      <c r="H253" s="213"/>
      <c r="I253" s="213"/>
      <c r="J253" s="213"/>
      <c r="K253" s="134">
        <f>118+23*0.1+95</f>
        <v>215.3</v>
      </c>
      <c r="L253" s="69"/>
      <c r="M253" s="70"/>
      <c r="N253" s="67"/>
      <c r="O253" s="71"/>
      <c r="P253" s="67"/>
      <c r="Q253" s="71"/>
      <c r="R253" s="21"/>
    </row>
    <row r="254" spans="2:19" x14ac:dyDescent="0.3">
      <c r="B254" s="223"/>
      <c r="E254" s="187" t="s">
        <v>245</v>
      </c>
      <c r="F254" s="213" t="s">
        <v>286</v>
      </c>
      <c r="G254" s="189"/>
      <c r="H254" s="189"/>
      <c r="I254" s="189"/>
      <c r="J254" s="189"/>
      <c r="K254" s="134">
        <v>7</v>
      </c>
      <c r="R254" s="224"/>
    </row>
    <row r="255" spans="2:19" s="1" customFormat="1" x14ac:dyDescent="0.25">
      <c r="B255" s="68"/>
      <c r="C255" s="128"/>
      <c r="D255" s="128"/>
      <c r="E255" s="155" t="s">
        <v>143</v>
      </c>
      <c r="F255" s="188" t="s">
        <v>178</v>
      </c>
      <c r="G255" s="188"/>
      <c r="H255" s="188"/>
      <c r="I255" s="188"/>
      <c r="J255" s="188"/>
      <c r="K255" s="157">
        <f>137+7*0.1</f>
        <v>137.69999999999999</v>
      </c>
      <c r="L255" s="69"/>
      <c r="M255" s="70"/>
      <c r="N255" s="67"/>
      <c r="O255" s="71"/>
      <c r="P255" s="67"/>
      <c r="Q255" s="71"/>
      <c r="R255" s="21"/>
    </row>
    <row r="256" spans="2:19" s="1" customFormat="1" x14ac:dyDescent="0.25">
      <c r="B256" s="68"/>
      <c r="C256" s="128"/>
      <c r="D256" s="128"/>
      <c r="E256" s="154"/>
      <c r="F256" s="122"/>
      <c r="G256" s="123"/>
      <c r="H256" s="123"/>
      <c r="I256" s="123"/>
      <c r="J256" s="124"/>
      <c r="K256" s="125">
        <f>SUM(K252:K255)</f>
        <v>573</v>
      </c>
      <c r="L256" s="69"/>
      <c r="M256" s="70"/>
      <c r="N256" s="67"/>
      <c r="O256" s="71"/>
      <c r="P256" s="67"/>
      <c r="Q256" s="71"/>
      <c r="R256" s="21"/>
    </row>
    <row r="257" spans="2:18" s="1" customFormat="1" ht="13.5" customHeight="1" x14ac:dyDescent="0.25">
      <c r="B257" s="20"/>
      <c r="C257" s="293">
        <v>36</v>
      </c>
      <c r="D257" s="293" t="s">
        <v>74</v>
      </c>
      <c r="E257" s="294"/>
      <c r="F257" s="345" t="s">
        <v>203</v>
      </c>
      <c r="G257" s="345"/>
      <c r="H257" s="345"/>
      <c r="I257" s="345"/>
      <c r="J257" s="295" t="s">
        <v>116</v>
      </c>
      <c r="K257" s="225">
        <f>ROUNDUP(K251*2*1.025,0)</f>
        <v>1175</v>
      </c>
      <c r="L257" s="226"/>
      <c r="M257" s="227">
        <f>ROUND(L257*K257,2)</f>
        <v>0</v>
      </c>
      <c r="N257" s="228">
        <v>2.69E-2</v>
      </c>
      <c r="O257" s="225">
        <f>N257*K257</f>
        <v>31.607500000000002</v>
      </c>
      <c r="P257" s="228">
        <v>0</v>
      </c>
      <c r="Q257" s="225">
        <f>P257*K257</f>
        <v>0</v>
      </c>
      <c r="R257" s="105"/>
    </row>
    <row r="258" spans="2:18" s="1" customFormat="1" x14ac:dyDescent="0.25">
      <c r="B258" s="68"/>
      <c r="C258" s="128"/>
      <c r="D258" s="128"/>
      <c r="E258" s="187"/>
      <c r="F258" s="339" t="s">
        <v>158</v>
      </c>
      <c r="G258" s="339"/>
      <c r="H258" s="339"/>
      <c r="I258" s="339"/>
      <c r="J258" s="339"/>
      <c r="K258" s="134"/>
      <c r="L258" s="69"/>
      <c r="M258" s="70"/>
      <c r="N258" s="67"/>
      <c r="O258" s="71"/>
      <c r="P258" s="67"/>
      <c r="Q258" s="71"/>
      <c r="R258" s="21"/>
    </row>
    <row r="259" spans="2:18" s="1" customFormat="1" ht="27.75" customHeight="1" x14ac:dyDescent="0.25">
      <c r="B259" s="20"/>
      <c r="C259" s="161">
        <v>37</v>
      </c>
      <c r="D259" s="161" t="s">
        <v>74</v>
      </c>
      <c r="E259" s="162" t="s">
        <v>138</v>
      </c>
      <c r="F259" s="340" t="s">
        <v>189</v>
      </c>
      <c r="G259" s="340"/>
      <c r="H259" s="340"/>
      <c r="I259" s="340"/>
      <c r="J259" s="121" t="s">
        <v>75</v>
      </c>
      <c r="K259" s="72">
        <f>K263</f>
        <v>17.100000000000001</v>
      </c>
      <c r="L259" s="146"/>
      <c r="M259" s="109">
        <f t="shared" ref="M259" si="3">ROUND(L259*K259,2)</f>
        <v>0</v>
      </c>
      <c r="N259" s="79">
        <v>2.5249999999999999</v>
      </c>
      <c r="O259" s="72">
        <f t="shared" ref="O259" si="4">N259*K259</f>
        <v>43.177500000000002</v>
      </c>
      <c r="P259" s="79">
        <v>0</v>
      </c>
      <c r="Q259" s="72">
        <f t="shared" ref="Q259" si="5">P259*K259</f>
        <v>0</v>
      </c>
      <c r="R259" s="105"/>
    </row>
    <row r="260" spans="2:18" s="1" customFormat="1" ht="13.5" customHeight="1" x14ac:dyDescent="0.25">
      <c r="B260" s="68"/>
      <c r="C260" s="128"/>
      <c r="D260" s="128"/>
      <c r="E260" s="187" t="s">
        <v>141</v>
      </c>
      <c r="F260" s="264" t="s">
        <v>201</v>
      </c>
      <c r="G260" s="265"/>
      <c r="H260" s="265"/>
      <c r="I260" s="265"/>
      <c r="J260" s="265"/>
      <c r="K260" s="185">
        <f>(118+8+4)*0.25*0.1+(118+95)*0.25*0.05</f>
        <v>5.9124999999999996</v>
      </c>
      <c r="L260" s="69"/>
      <c r="M260" s="70"/>
      <c r="N260" s="67"/>
      <c r="O260" s="71"/>
      <c r="P260" s="67"/>
      <c r="Q260" s="71"/>
      <c r="R260" s="21"/>
    </row>
    <row r="261" spans="2:18" s="1" customFormat="1" ht="13.5" customHeight="1" x14ac:dyDescent="0.25">
      <c r="B261" s="68"/>
      <c r="C261" s="128"/>
      <c r="D261" s="128"/>
      <c r="E261" s="187" t="s">
        <v>142</v>
      </c>
      <c r="F261" s="264" t="s">
        <v>202</v>
      </c>
      <c r="G261" s="265"/>
      <c r="H261" s="265"/>
      <c r="I261" s="265"/>
      <c r="J261" s="265"/>
      <c r="K261" s="185">
        <f>(118+23*0.1+6+7)*0.25*0.1+(118+23*0.1+95)*0.25*0.05</f>
        <v>6.0237500000000006</v>
      </c>
      <c r="L261" s="69"/>
      <c r="M261" s="70"/>
      <c r="N261" s="67"/>
      <c r="O261" s="71"/>
      <c r="P261" s="67"/>
      <c r="Q261" s="71"/>
      <c r="R261" s="21"/>
    </row>
    <row r="262" spans="2:18" s="1" customFormat="1" ht="13.5" customHeight="1" x14ac:dyDescent="0.25">
      <c r="B262" s="68"/>
      <c r="C262" s="128"/>
      <c r="D262" s="128"/>
      <c r="E262" s="155" t="s">
        <v>149</v>
      </c>
      <c r="F262" s="264" t="s">
        <v>205</v>
      </c>
      <c r="G262" s="265"/>
      <c r="H262" s="265"/>
      <c r="I262" s="265"/>
      <c r="J262" s="265"/>
      <c r="K262" s="185">
        <f>(137+7*0.1)*0.25*0.1+(137+7*0.1)*0.25*0.05</f>
        <v>5.1637500000000003</v>
      </c>
      <c r="L262" s="69"/>
      <c r="M262" s="70"/>
      <c r="N262" s="67"/>
      <c r="O262" s="71"/>
      <c r="P262" s="67"/>
      <c r="Q262" s="71"/>
      <c r="R262" s="21"/>
    </row>
    <row r="263" spans="2:18" s="1" customFormat="1" ht="13.5" customHeight="1" x14ac:dyDescent="0.25">
      <c r="B263" s="68"/>
      <c r="C263" s="128"/>
      <c r="D263" s="128"/>
      <c r="E263" s="154"/>
      <c r="F263" s="122"/>
      <c r="G263" s="123"/>
      <c r="H263" s="123"/>
      <c r="I263" s="123"/>
      <c r="J263" s="124"/>
      <c r="K263" s="125">
        <f>SUM(K260:K262)</f>
        <v>17.100000000000001</v>
      </c>
      <c r="L263" s="69"/>
      <c r="M263" s="70"/>
      <c r="N263" s="67"/>
      <c r="O263" s="71"/>
      <c r="P263" s="67"/>
      <c r="Q263" s="71"/>
      <c r="R263" s="21"/>
    </row>
    <row r="264" spans="2:18" s="99" customFormat="1" ht="15.75" x14ac:dyDescent="0.35">
      <c r="B264" s="98"/>
      <c r="D264" s="84" t="s">
        <v>66</v>
      </c>
      <c r="E264" s="84"/>
      <c r="F264" s="84"/>
      <c r="G264" s="84"/>
      <c r="H264" s="84"/>
      <c r="I264" s="84"/>
      <c r="J264" s="84"/>
      <c r="K264" s="84"/>
      <c r="L264" s="84"/>
      <c r="M264" s="108">
        <f>SUM(M265:M330)</f>
        <v>0</v>
      </c>
      <c r="O264" s="254">
        <f>SUM(O265:O330)</f>
        <v>23.984929999999999</v>
      </c>
      <c r="P264" s="255"/>
      <c r="Q264" s="254">
        <f>SUM(Q265:Q330)</f>
        <v>0</v>
      </c>
      <c r="R264" s="104"/>
    </row>
    <row r="265" spans="2:18" s="1" customFormat="1" x14ac:dyDescent="0.25">
      <c r="B265" s="20"/>
      <c r="C265" s="161">
        <v>40</v>
      </c>
      <c r="D265" s="161" t="s">
        <v>74</v>
      </c>
      <c r="E265" s="162" t="s">
        <v>258</v>
      </c>
      <c r="F265" s="340" t="s">
        <v>259</v>
      </c>
      <c r="G265" s="344"/>
      <c r="H265" s="344"/>
      <c r="I265" s="344"/>
      <c r="J265" s="121" t="s">
        <v>116</v>
      </c>
      <c r="K265" s="72">
        <f>K268</f>
        <v>2</v>
      </c>
      <c r="L265" s="146"/>
      <c r="M265" s="109">
        <f>ROUND(L265*K265,2)</f>
        <v>0</v>
      </c>
      <c r="N265" s="79">
        <v>9.3600000000000003E-3</v>
      </c>
      <c r="O265" s="72">
        <f>N265*K265</f>
        <v>1.8720000000000001E-2</v>
      </c>
      <c r="P265" s="79">
        <v>0</v>
      </c>
      <c r="Q265" s="72">
        <f>P265*K265</f>
        <v>0</v>
      </c>
      <c r="R265" s="105"/>
    </row>
    <row r="266" spans="2:18" s="1" customFormat="1" x14ac:dyDescent="0.25">
      <c r="B266" s="68"/>
      <c r="C266" s="263"/>
      <c r="D266" s="263"/>
      <c r="E266" s="258" t="s">
        <v>252</v>
      </c>
      <c r="F266" s="236"/>
      <c r="G266" s="259"/>
      <c r="H266" s="259"/>
      <c r="I266" s="259"/>
      <c r="J266" s="259"/>
      <c r="K266" s="156">
        <v>1</v>
      </c>
      <c r="L266" s="69"/>
      <c r="M266" s="70"/>
      <c r="N266" s="67"/>
      <c r="O266" s="71"/>
      <c r="P266" s="67"/>
      <c r="Q266" s="71"/>
      <c r="R266" s="21"/>
    </row>
    <row r="267" spans="2:18" s="1" customFormat="1" x14ac:dyDescent="0.25">
      <c r="B267" s="68"/>
      <c r="C267" s="128"/>
      <c r="D267" s="128"/>
      <c r="E267" s="187" t="s">
        <v>287</v>
      </c>
      <c r="F267" s="264"/>
      <c r="G267" s="265"/>
      <c r="H267" s="265"/>
      <c r="I267" s="265"/>
      <c r="J267" s="265"/>
      <c r="K267" s="134">
        <v>1</v>
      </c>
      <c r="L267" s="69"/>
      <c r="M267" s="70"/>
      <c r="N267" s="67"/>
      <c r="O267" s="71"/>
      <c r="P267" s="67"/>
      <c r="Q267" s="71"/>
      <c r="R267" s="21"/>
    </row>
    <row r="268" spans="2:18" s="1" customFormat="1" x14ac:dyDescent="0.25">
      <c r="B268" s="68"/>
      <c r="C268" s="128"/>
      <c r="D268" s="128"/>
      <c r="E268" s="154"/>
      <c r="F268" s="122"/>
      <c r="G268" s="123"/>
      <c r="H268" s="123"/>
      <c r="I268" s="123"/>
      <c r="J268" s="124"/>
      <c r="K268" s="125">
        <f>SUM(K266:K267)</f>
        <v>2</v>
      </c>
      <c r="L268" s="69"/>
      <c r="M268" s="70"/>
      <c r="N268" s="67"/>
      <c r="O268" s="71"/>
      <c r="P268" s="67"/>
      <c r="Q268" s="71"/>
      <c r="R268" s="21"/>
    </row>
    <row r="269" spans="2:18" s="1" customFormat="1" x14ac:dyDescent="0.25">
      <c r="B269" s="20"/>
      <c r="C269" s="163">
        <v>40</v>
      </c>
      <c r="D269" s="163" t="s">
        <v>74</v>
      </c>
      <c r="E269" s="164"/>
      <c r="F269" s="346" t="s">
        <v>263</v>
      </c>
      <c r="G269" s="347"/>
      <c r="H269" s="347"/>
      <c r="I269" s="347"/>
      <c r="J269" s="126" t="s">
        <v>116</v>
      </c>
      <c r="K269" s="73">
        <f>K277</f>
        <v>2</v>
      </c>
      <c r="L269" s="147"/>
      <c r="M269" s="110">
        <f t="shared" ref="M269:M274" si="6">ROUND(L269*K269,2)</f>
        <v>0</v>
      </c>
      <c r="N269" s="80">
        <v>0</v>
      </c>
      <c r="O269" s="73">
        <f t="shared" ref="O269:O274" si="7">N269*K269</f>
        <v>0</v>
      </c>
      <c r="P269" s="80">
        <v>0</v>
      </c>
      <c r="Q269" s="73">
        <f t="shared" ref="Q269:Q274" si="8">P269*K269</f>
        <v>0</v>
      </c>
      <c r="R269" s="105"/>
    </row>
    <row r="270" spans="2:18" s="1" customFormat="1" ht="13.5" customHeight="1" x14ac:dyDescent="0.25">
      <c r="B270" s="20"/>
      <c r="C270" s="296">
        <v>36</v>
      </c>
      <c r="D270" s="296" t="s">
        <v>74</v>
      </c>
      <c r="E270" s="297"/>
      <c r="F270" s="381" t="s">
        <v>262</v>
      </c>
      <c r="G270" s="381"/>
      <c r="H270" s="381"/>
      <c r="I270" s="381"/>
      <c r="J270" s="298" t="s">
        <v>116</v>
      </c>
      <c r="K270" s="247">
        <f>K269</f>
        <v>2</v>
      </c>
      <c r="L270" s="244"/>
      <c r="M270" s="252">
        <f t="shared" si="6"/>
        <v>0</v>
      </c>
      <c r="N270" s="246">
        <v>5.3999999999999999E-2</v>
      </c>
      <c r="O270" s="247">
        <f t="shared" si="7"/>
        <v>0.108</v>
      </c>
      <c r="P270" s="246">
        <v>0</v>
      </c>
      <c r="Q270" s="247">
        <f t="shared" si="8"/>
        <v>0</v>
      </c>
      <c r="R270" s="105"/>
    </row>
    <row r="271" spans="2:18" s="1" customFormat="1" x14ac:dyDescent="0.25">
      <c r="B271" s="20"/>
      <c r="C271" s="167">
        <v>40</v>
      </c>
      <c r="D271" s="167" t="s">
        <v>74</v>
      </c>
      <c r="E271" s="168"/>
      <c r="F271" s="348" t="s">
        <v>264</v>
      </c>
      <c r="G271" s="349"/>
      <c r="H271" s="349"/>
      <c r="I271" s="349"/>
      <c r="J271" s="129" t="s">
        <v>116</v>
      </c>
      <c r="K271" s="74">
        <f>K270</f>
        <v>2</v>
      </c>
      <c r="L271" s="148"/>
      <c r="M271" s="102">
        <f t="shared" si="6"/>
        <v>0</v>
      </c>
      <c r="N271" s="81">
        <v>0</v>
      </c>
      <c r="O271" s="74">
        <f t="shared" si="7"/>
        <v>0</v>
      </c>
      <c r="P271" s="81">
        <v>0</v>
      </c>
      <c r="Q271" s="74">
        <f t="shared" si="8"/>
        <v>0</v>
      </c>
      <c r="R271" s="105"/>
    </row>
    <row r="272" spans="2:18" s="1" customFormat="1" ht="29.25" customHeight="1" x14ac:dyDescent="0.25">
      <c r="B272" s="20"/>
      <c r="C272" s="296">
        <v>36</v>
      </c>
      <c r="D272" s="296" t="s">
        <v>74</v>
      </c>
      <c r="E272" s="297"/>
      <c r="F272" s="381" t="s">
        <v>265</v>
      </c>
      <c r="G272" s="381"/>
      <c r="H272" s="381"/>
      <c r="I272" s="381"/>
      <c r="J272" s="298" t="s">
        <v>116</v>
      </c>
      <c r="K272" s="247">
        <f>K271</f>
        <v>2</v>
      </c>
      <c r="L272" s="244"/>
      <c r="M272" s="252">
        <f t="shared" si="6"/>
        <v>0</v>
      </c>
      <c r="N272" s="246">
        <v>2.9000000000000001E-2</v>
      </c>
      <c r="O272" s="247">
        <f t="shared" si="7"/>
        <v>5.8000000000000003E-2</v>
      </c>
      <c r="P272" s="246">
        <v>0</v>
      </c>
      <c r="Q272" s="247">
        <f t="shared" si="8"/>
        <v>0</v>
      </c>
      <c r="R272" s="105"/>
    </row>
    <row r="273" spans="2:18" s="1" customFormat="1" ht="29.25" customHeight="1" x14ac:dyDescent="0.25">
      <c r="B273" s="20"/>
      <c r="C273" s="167">
        <v>40</v>
      </c>
      <c r="D273" s="167" t="s">
        <v>74</v>
      </c>
      <c r="E273" s="168" t="s">
        <v>258</v>
      </c>
      <c r="F273" s="348" t="s">
        <v>268</v>
      </c>
      <c r="G273" s="349"/>
      <c r="H273" s="349"/>
      <c r="I273" s="349"/>
      <c r="J273" s="129" t="s">
        <v>116</v>
      </c>
      <c r="K273" s="74">
        <f>K272</f>
        <v>2</v>
      </c>
      <c r="L273" s="148"/>
      <c r="M273" s="102">
        <f t="shared" si="6"/>
        <v>0</v>
      </c>
      <c r="N273" s="81">
        <v>9.3600000000000003E-3</v>
      </c>
      <c r="O273" s="74">
        <f t="shared" si="7"/>
        <v>1.8720000000000001E-2</v>
      </c>
      <c r="P273" s="81">
        <v>0</v>
      </c>
      <c r="Q273" s="74">
        <f t="shared" si="8"/>
        <v>0</v>
      </c>
      <c r="R273" s="105"/>
    </row>
    <row r="274" spans="2:18" s="1" customFormat="1" x14ac:dyDescent="0.25">
      <c r="B274" s="20"/>
      <c r="C274" s="299">
        <v>36</v>
      </c>
      <c r="D274" s="299" t="s">
        <v>74</v>
      </c>
      <c r="E274" s="300"/>
      <c r="F274" s="382" t="s">
        <v>269</v>
      </c>
      <c r="G274" s="382"/>
      <c r="H274" s="382"/>
      <c r="I274" s="382"/>
      <c r="J274" s="301" t="s">
        <v>116</v>
      </c>
      <c r="K274" s="196">
        <f>K273</f>
        <v>2</v>
      </c>
      <c r="L274" s="197"/>
      <c r="M274" s="253">
        <f t="shared" si="6"/>
        <v>0</v>
      </c>
      <c r="N274" s="198">
        <v>0.04</v>
      </c>
      <c r="O274" s="196">
        <f t="shared" si="7"/>
        <v>0.08</v>
      </c>
      <c r="P274" s="198">
        <v>0</v>
      </c>
      <c r="Q274" s="196">
        <f t="shared" si="8"/>
        <v>0</v>
      </c>
      <c r="R274" s="105"/>
    </row>
    <row r="275" spans="2:18" s="1" customFormat="1" x14ac:dyDescent="0.25">
      <c r="B275" s="68"/>
      <c r="C275" s="128"/>
      <c r="D275" s="128"/>
      <c r="E275" s="258" t="s">
        <v>252</v>
      </c>
      <c r="F275" s="236"/>
      <c r="G275" s="259"/>
      <c r="H275" s="259"/>
      <c r="I275" s="259"/>
      <c r="J275" s="259"/>
      <c r="K275" s="156">
        <v>1</v>
      </c>
      <c r="L275" s="69"/>
      <c r="M275" s="70"/>
      <c r="N275" s="67"/>
      <c r="O275" s="71"/>
      <c r="P275" s="67"/>
      <c r="Q275" s="71"/>
      <c r="R275" s="21"/>
    </row>
    <row r="276" spans="2:18" s="1" customFormat="1" x14ac:dyDescent="0.25">
      <c r="B276" s="68"/>
      <c r="C276" s="128"/>
      <c r="D276" s="128"/>
      <c r="E276" s="260" t="s">
        <v>287</v>
      </c>
      <c r="F276" s="261"/>
      <c r="G276" s="262"/>
      <c r="H276" s="262"/>
      <c r="I276" s="262"/>
      <c r="J276" s="262"/>
      <c r="K276" s="157">
        <v>1</v>
      </c>
      <c r="L276" s="69"/>
      <c r="M276" s="70"/>
      <c r="N276" s="67"/>
      <c r="O276" s="71"/>
      <c r="P276" s="67"/>
      <c r="Q276" s="71"/>
      <c r="R276" s="21"/>
    </row>
    <row r="277" spans="2:18" s="1" customFormat="1" x14ac:dyDescent="0.25">
      <c r="B277" s="68"/>
      <c r="C277" s="128"/>
      <c r="D277" s="128"/>
      <c r="E277" s="154"/>
      <c r="F277" s="122"/>
      <c r="G277" s="123"/>
      <c r="H277" s="123"/>
      <c r="I277" s="123"/>
      <c r="J277" s="124"/>
      <c r="K277" s="125">
        <f>SUM(K275:K276)</f>
        <v>2</v>
      </c>
      <c r="L277" s="69"/>
      <c r="M277" s="70"/>
      <c r="N277" s="67"/>
      <c r="O277" s="71"/>
      <c r="P277" s="67"/>
      <c r="Q277" s="71"/>
      <c r="R277" s="21"/>
    </row>
    <row r="278" spans="2:18" s="1" customFormat="1" x14ac:dyDescent="0.25">
      <c r="B278" s="20"/>
      <c r="C278" s="161">
        <v>40</v>
      </c>
      <c r="D278" s="161" t="s">
        <v>74</v>
      </c>
      <c r="E278" s="162" t="s">
        <v>266</v>
      </c>
      <c r="F278" s="340" t="s">
        <v>273</v>
      </c>
      <c r="G278" s="344"/>
      <c r="H278" s="344"/>
      <c r="I278" s="344"/>
      <c r="J278" s="121" t="s">
        <v>213</v>
      </c>
      <c r="K278" s="72">
        <f>K281</f>
        <v>0.22500000000000001</v>
      </c>
      <c r="L278" s="146"/>
      <c r="M278" s="109">
        <f>ROUND(L278*K278,2)</f>
        <v>0</v>
      </c>
      <c r="N278" s="79">
        <v>2.5</v>
      </c>
      <c r="O278" s="72">
        <f>N278*K278</f>
        <v>0.5625</v>
      </c>
      <c r="P278" s="79">
        <v>0</v>
      </c>
      <c r="Q278" s="72">
        <f>P278*K278</f>
        <v>0</v>
      </c>
      <c r="R278" s="105"/>
    </row>
    <row r="279" spans="2:18" s="1" customFormat="1" x14ac:dyDescent="0.25">
      <c r="B279" s="68"/>
      <c r="C279" s="128"/>
      <c r="D279" s="128"/>
      <c r="E279" s="258" t="s">
        <v>252</v>
      </c>
      <c r="F279" s="236" t="s">
        <v>274</v>
      </c>
      <c r="G279" s="259"/>
      <c r="H279" s="259"/>
      <c r="I279" s="259"/>
      <c r="J279" s="259"/>
      <c r="K279" s="156">
        <f>0.75*0.75*0.2</f>
        <v>0.1125</v>
      </c>
      <c r="L279" s="69"/>
      <c r="M279" s="70"/>
      <c r="N279" s="67"/>
      <c r="O279" s="71"/>
      <c r="P279" s="67"/>
      <c r="Q279" s="71"/>
      <c r="R279" s="21"/>
    </row>
    <row r="280" spans="2:18" s="1" customFormat="1" x14ac:dyDescent="0.25">
      <c r="B280" s="68"/>
      <c r="C280" s="128"/>
      <c r="D280" s="128"/>
      <c r="E280" s="260" t="s">
        <v>287</v>
      </c>
      <c r="F280" s="261" t="s">
        <v>274</v>
      </c>
      <c r="G280" s="262"/>
      <c r="H280" s="262"/>
      <c r="I280" s="262"/>
      <c r="J280" s="262"/>
      <c r="K280" s="157">
        <f>0.75*0.75*0.2</f>
        <v>0.1125</v>
      </c>
      <c r="L280" s="69"/>
      <c r="M280" s="70"/>
      <c r="N280" s="67"/>
      <c r="O280" s="71"/>
      <c r="P280" s="67"/>
      <c r="Q280" s="71"/>
      <c r="R280" s="21"/>
    </row>
    <row r="281" spans="2:18" s="1" customFormat="1" x14ac:dyDescent="0.25">
      <c r="B281" s="68"/>
      <c r="C281" s="128"/>
      <c r="D281" s="128"/>
      <c r="E281" s="154"/>
      <c r="F281" s="122"/>
      <c r="G281" s="123"/>
      <c r="H281" s="123"/>
      <c r="I281" s="123"/>
      <c r="J281" s="124"/>
      <c r="K281" s="125">
        <f>SUM(K279:K280)</f>
        <v>0.22500000000000001</v>
      </c>
      <c r="L281" s="69"/>
      <c r="M281" s="70"/>
      <c r="N281" s="67"/>
      <c r="O281" s="71"/>
      <c r="P281" s="67"/>
      <c r="Q281" s="71"/>
      <c r="R281" s="21"/>
    </row>
    <row r="282" spans="2:18" s="1" customFormat="1" ht="41.25" customHeight="1" x14ac:dyDescent="0.25">
      <c r="B282" s="20"/>
      <c r="C282" s="161">
        <v>40</v>
      </c>
      <c r="D282" s="161" t="s">
        <v>74</v>
      </c>
      <c r="E282" s="162" t="s">
        <v>272</v>
      </c>
      <c r="F282" s="340" t="s">
        <v>267</v>
      </c>
      <c r="G282" s="344"/>
      <c r="H282" s="344"/>
      <c r="I282" s="344"/>
      <c r="J282" s="121" t="s">
        <v>213</v>
      </c>
      <c r="K282" s="72">
        <f>K285</f>
        <v>1</v>
      </c>
      <c r="L282" s="146"/>
      <c r="M282" s="109">
        <f>ROUND(L282*K282,2)</f>
        <v>0</v>
      </c>
      <c r="N282" s="79">
        <v>2.5249999999999999</v>
      </c>
      <c r="O282" s="72">
        <f>N282*K282</f>
        <v>2.5249999999999999</v>
      </c>
      <c r="P282" s="79">
        <v>0</v>
      </c>
      <c r="Q282" s="72">
        <f>P282*K282</f>
        <v>0</v>
      </c>
      <c r="R282" s="105"/>
    </row>
    <row r="283" spans="2:18" s="1" customFormat="1" x14ac:dyDescent="0.25">
      <c r="B283" s="68"/>
      <c r="C283" s="128"/>
      <c r="D283" s="128"/>
      <c r="E283" s="258" t="s">
        <v>252</v>
      </c>
      <c r="F283" s="236"/>
      <c r="G283" s="259"/>
      <c r="H283" s="259"/>
      <c r="I283" s="259"/>
      <c r="J283" s="259"/>
      <c r="K283" s="156">
        <v>0.5</v>
      </c>
      <c r="L283" s="69"/>
      <c r="M283" s="70"/>
      <c r="N283" s="67"/>
      <c r="O283" s="71"/>
      <c r="P283" s="67"/>
      <c r="Q283" s="71"/>
      <c r="R283" s="21"/>
    </row>
    <row r="284" spans="2:18" s="1" customFormat="1" x14ac:dyDescent="0.25">
      <c r="B284" s="68"/>
      <c r="C284" s="128"/>
      <c r="D284" s="128"/>
      <c r="E284" s="260" t="s">
        <v>287</v>
      </c>
      <c r="F284" s="261"/>
      <c r="G284" s="262"/>
      <c r="H284" s="262"/>
      <c r="I284" s="262"/>
      <c r="J284" s="262"/>
      <c r="K284" s="157">
        <v>0.5</v>
      </c>
      <c r="L284" s="69"/>
      <c r="M284" s="70"/>
      <c r="N284" s="67"/>
      <c r="O284" s="71"/>
      <c r="P284" s="67"/>
      <c r="Q284" s="71"/>
      <c r="R284" s="21"/>
    </row>
    <row r="285" spans="2:18" s="1" customFormat="1" x14ac:dyDescent="0.25">
      <c r="B285" s="68"/>
      <c r="C285" s="128"/>
      <c r="D285" s="128"/>
      <c r="E285" s="154"/>
      <c r="F285" s="122"/>
      <c r="G285" s="123"/>
      <c r="H285" s="123"/>
      <c r="I285" s="123"/>
      <c r="J285" s="124"/>
      <c r="K285" s="125">
        <f>SUM(K283:K284)</f>
        <v>1</v>
      </c>
      <c r="L285" s="69"/>
      <c r="M285" s="70"/>
      <c r="N285" s="67"/>
      <c r="O285" s="71"/>
      <c r="P285" s="67"/>
      <c r="Q285" s="71"/>
      <c r="R285" s="21"/>
    </row>
    <row r="286" spans="2:18" s="1" customFormat="1" x14ac:dyDescent="0.25">
      <c r="B286" s="20"/>
      <c r="C286" s="163">
        <v>40</v>
      </c>
      <c r="D286" s="163" t="s">
        <v>74</v>
      </c>
      <c r="E286" s="164" t="s">
        <v>256</v>
      </c>
      <c r="F286" s="346" t="s">
        <v>257</v>
      </c>
      <c r="G286" s="347"/>
      <c r="H286" s="347"/>
      <c r="I286" s="347"/>
      <c r="J286" s="126" t="s">
        <v>116</v>
      </c>
      <c r="K286" s="73">
        <f>K294</f>
        <v>2</v>
      </c>
      <c r="L286" s="147"/>
      <c r="M286" s="110">
        <f t="shared" ref="M286:M291" si="9">ROUND(L286*K286,2)</f>
        <v>0</v>
      </c>
      <c r="N286" s="80">
        <v>0.34089999999999998</v>
      </c>
      <c r="O286" s="73">
        <f t="shared" ref="O286:O291" si="10">N286*K286</f>
        <v>0.68179999999999996</v>
      </c>
      <c r="P286" s="80">
        <v>0</v>
      </c>
      <c r="Q286" s="73">
        <f t="shared" ref="Q286:Q291" si="11">P286*K286</f>
        <v>0</v>
      </c>
      <c r="R286" s="105"/>
    </row>
    <row r="287" spans="2:18" s="1" customFormat="1" x14ac:dyDescent="0.25">
      <c r="B287" s="20"/>
      <c r="C287" s="167">
        <v>40</v>
      </c>
      <c r="D287" s="167" t="s">
        <v>74</v>
      </c>
      <c r="E287" s="168" t="s">
        <v>258</v>
      </c>
      <c r="F287" s="348" t="s">
        <v>260</v>
      </c>
      <c r="G287" s="349"/>
      <c r="H287" s="349"/>
      <c r="I287" s="349"/>
      <c r="J287" s="129" t="s">
        <v>116</v>
      </c>
      <c r="K287" s="74">
        <f>K286</f>
        <v>2</v>
      </c>
      <c r="L287" s="148"/>
      <c r="M287" s="102">
        <f t="shared" si="9"/>
        <v>0</v>
      </c>
      <c r="N287" s="81">
        <v>9.3600000000000003E-3</v>
      </c>
      <c r="O287" s="74">
        <f t="shared" si="10"/>
        <v>1.8720000000000001E-2</v>
      </c>
      <c r="P287" s="81">
        <v>0</v>
      </c>
      <c r="Q287" s="74">
        <f t="shared" si="11"/>
        <v>0</v>
      </c>
      <c r="R287" s="105"/>
    </row>
    <row r="288" spans="2:18" s="1" customFormat="1" x14ac:dyDescent="0.25">
      <c r="B288" s="20"/>
      <c r="C288" s="296">
        <v>36</v>
      </c>
      <c r="D288" s="296" t="s">
        <v>74</v>
      </c>
      <c r="E288" s="297"/>
      <c r="F288" s="381" t="s">
        <v>269</v>
      </c>
      <c r="G288" s="381"/>
      <c r="H288" s="381"/>
      <c r="I288" s="381"/>
      <c r="J288" s="298" t="s">
        <v>116</v>
      </c>
      <c r="K288" s="247">
        <f>K287</f>
        <v>2</v>
      </c>
      <c r="L288" s="244"/>
      <c r="M288" s="252">
        <f t="shared" si="9"/>
        <v>0</v>
      </c>
      <c r="N288" s="246">
        <v>0.04</v>
      </c>
      <c r="O288" s="247">
        <f t="shared" si="10"/>
        <v>0.08</v>
      </c>
      <c r="P288" s="246">
        <v>0</v>
      </c>
      <c r="Q288" s="247">
        <f t="shared" si="11"/>
        <v>0</v>
      </c>
      <c r="R288" s="105"/>
    </row>
    <row r="289" spans="2:18" s="1" customFormat="1" ht="29.25" customHeight="1" x14ac:dyDescent="0.25">
      <c r="B289" s="20"/>
      <c r="C289" s="296">
        <v>36</v>
      </c>
      <c r="D289" s="296" t="s">
        <v>74</v>
      </c>
      <c r="E289" s="297"/>
      <c r="F289" s="381" t="s">
        <v>265</v>
      </c>
      <c r="G289" s="381"/>
      <c r="H289" s="381"/>
      <c r="I289" s="381"/>
      <c r="J289" s="298" t="s">
        <v>116</v>
      </c>
      <c r="K289" s="247">
        <f>K288</f>
        <v>2</v>
      </c>
      <c r="L289" s="244"/>
      <c r="M289" s="252">
        <f t="shared" si="9"/>
        <v>0</v>
      </c>
      <c r="N289" s="246">
        <v>2.9000000000000001E-2</v>
      </c>
      <c r="O289" s="247">
        <f t="shared" si="10"/>
        <v>5.8000000000000003E-2</v>
      </c>
      <c r="P289" s="246">
        <v>0</v>
      </c>
      <c r="Q289" s="247">
        <f t="shared" si="11"/>
        <v>0</v>
      </c>
      <c r="R289" s="105"/>
    </row>
    <row r="290" spans="2:18" s="1" customFormat="1" ht="13.5" customHeight="1" x14ac:dyDescent="0.25">
      <c r="B290" s="20"/>
      <c r="C290" s="296">
        <v>36</v>
      </c>
      <c r="D290" s="296" t="s">
        <v>74</v>
      </c>
      <c r="E290" s="297"/>
      <c r="F290" s="381" t="s">
        <v>270</v>
      </c>
      <c r="G290" s="381"/>
      <c r="H290" s="381"/>
      <c r="I290" s="381"/>
      <c r="J290" s="298" t="s">
        <v>116</v>
      </c>
      <c r="K290" s="247">
        <f>K289</f>
        <v>2</v>
      </c>
      <c r="L290" s="244"/>
      <c r="M290" s="252">
        <f t="shared" si="9"/>
        <v>0</v>
      </c>
      <c r="N290" s="246">
        <v>0.106</v>
      </c>
      <c r="O290" s="247">
        <f t="shared" si="10"/>
        <v>0.21199999999999999</v>
      </c>
      <c r="P290" s="246">
        <v>0</v>
      </c>
      <c r="Q290" s="247">
        <f t="shared" si="11"/>
        <v>0</v>
      </c>
      <c r="R290" s="105"/>
    </row>
    <row r="291" spans="2:18" s="1" customFormat="1" ht="27" customHeight="1" x14ac:dyDescent="0.25">
      <c r="B291" s="20"/>
      <c r="C291" s="299">
        <v>36</v>
      </c>
      <c r="D291" s="299" t="s">
        <v>74</v>
      </c>
      <c r="E291" s="300"/>
      <c r="F291" s="382" t="s">
        <v>271</v>
      </c>
      <c r="G291" s="382"/>
      <c r="H291" s="382"/>
      <c r="I291" s="382"/>
      <c r="J291" s="301" t="s">
        <v>116</v>
      </c>
      <c r="K291" s="196">
        <f>K290</f>
        <v>2</v>
      </c>
      <c r="L291" s="197"/>
      <c r="M291" s="253">
        <f t="shared" si="9"/>
        <v>0</v>
      </c>
      <c r="N291" s="198">
        <v>0.106</v>
      </c>
      <c r="O291" s="196">
        <f t="shared" si="10"/>
        <v>0.21199999999999999</v>
      </c>
      <c r="P291" s="198">
        <v>0</v>
      </c>
      <c r="Q291" s="196">
        <f t="shared" si="11"/>
        <v>0</v>
      </c>
      <c r="R291" s="105"/>
    </row>
    <row r="292" spans="2:18" s="1" customFormat="1" x14ac:dyDescent="0.25">
      <c r="B292" s="68"/>
      <c r="C292" s="128"/>
      <c r="D292" s="128"/>
      <c r="E292" s="187" t="s">
        <v>252</v>
      </c>
      <c r="F292" s="264"/>
      <c r="G292" s="265"/>
      <c r="H292" s="265"/>
      <c r="I292" s="265"/>
      <c r="J292" s="265"/>
      <c r="K292" s="134">
        <v>1</v>
      </c>
      <c r="L292" s="69"/>
      <c r="M292" s="70"/>
      <c r="N292" s="67"/>
      <c r="O292" s="71"/>
      <c r="P292" s="67"/>
      <c r="Q292" s="71"/>
      <c r="R292" s="21"/>
    </row>
    <row r="293" spans="2:18" s="1" customFormat="1" x14ac:dyDescent="0.25">
      <c r="B293" s="68"/>
      <c r="C293" s="128"/>
      <c r="D293" s="128"/>
      <c r="E293" s="187" t="s">
        <v>287</v>
      </c>
      <c r="F293" s="264"/>
      <c r="G293" s="265"/>
      <c r="H293" s="265"/>
      <c r="I293" s="265"/>
      <c r="J293" s="265"/>
      <c r="K293" s="134">
        <v>1</v>
      </c>
      <c r="L293" s="69"/>
      <c r="M293" s="70"/>
      <c r="N293" s="67"/>
      <c r="O293" s="71"/>
      <c r="P293" s="67"/>
      <c r="Q293" s="71"/>
      <c r="R293" s="21"/>
    </row>
    <row r="294" spans="2:18" s="1" customFormat="1" x14ac:dyDescent="0.25">
      <c r="B294" s="68"/>
      <c r="C294" s="128"/>
      <c r="D294" s="128"/>
      <c r="E294" s="154"/>
      <c r="F294" s="122"/>
      <c r="G294" s="123"/>
      <c r="H294" s="123"/>
      <c r="I294" s="123"/>
      <c r="J294" s="124"/>
      <c r="K294" s="125">
        <f>SUM(K292:K293)</f>
        <v>2</v>
      </c>
      <c r="L294" s="69"/>
      <c r="M294" s="70"/>
      <c r="N294" s="67"/>
      <c r="O294" s="71"/>
      <c r="P294" s="67"/>
      <c r="Q294" s="71"/>
      <c r="R294" s="21"/>
    </row>
    <row r="295" spans="2:18" s="1" customFormat="1" ht="36" customHeight="1" x14ac:dyDescent="0.25">
      <c r="B295" s="20"/>
      <c r="C295" s="161">
        <v>40</v>
      </c>
      <c r="D295" s="161" t="s">
        <v>74</v>
      </c>
      <c r="E295" s="162"/>
      <c r="F295" s="340" t="s">
        <v>278</v>
      </c>
      <c r="G295" s="344"/>
      <c r="H295" s="344"/>
      <c r="I295" s="344"/>
      <c r="J295" s="121" t="s">
        <v>116</v>
      </c>
      <c r="K295" s="72">
        <f>K298</f>
        <v>2</v>
      </c>
      <c r="L295" s="146"/>
      <c r="M295" s="109">
        <f>ROUND(L295*K295,2)</f>
        <v>0</v>
      </c>
      <c r="N295" s="79">
        <v>0</v>
      </c>
      <c r="O295" s="72">
        <f>N295*K295</f>
        <v>0</v>
      </c>
      <c r="P295" s="79">
        <v>0</v>
      </c>
      <c r="Q295" s="72">
        <f>P295*K295</f>
        <v>0</v>
      </c>
      <c r="R295" s="105"/>
    </row>
    <row r="296" spans="2:18" s="1" customFormat="1" x14ac:dyDescent="0.25">
      <c r="B296" s="68"/>
      <c r="C296" s="128"/>
      <c r="D296" s="128"/>
      <c r="E296" s="187" t="s">
        <v>252</v>
      </c>
      <c r="F296" s="264"/>
      <c r="G296" s="265"/>
      <c r="H296" s="265"/>
      <c r="I296" s="265"/>
      <c r="J296" s="265"/>
      <c r="K296" s="134">
        <v>1</v>
      </c>
      <c r="L296" s="69"/>
      <c r="M296" s="70"/>
      <c r="N296" s="67"/>
      <c r="O296" s="71"/>
      <c r="P296" s="67"/>
      <c r="Q296" s="71"/>
      <c r="R296" s="21"/>
    </row>
    <row r="297" spans="2:18" s="1" customFormat="1" x14ac:dyDescent="0.25">
      <c r="B297" s="68"/>
      <c r="C297" s="128"/>
      <c r="D297" s="128"/>
      <c r="E297" s="187" t="s">
        <v>287</v>
      </c>
      <c r="F297" s="264"/>
      <c r="G297" s="265"/>
      <c r="H297" s="265"/>
      <c r="I297" s="265"/>
      <c r="J297" s="265"/>
      <c r="K297" s="134">
        <v>1</v>
      </c>
      <c r="L297" s="69"/>
      <c r="M297" s="70"/>
      <c r="N297" s="67"/>
      <c r="O297" s="71"/>
      <c r="P297" s="67"/>
      <c r="Q297" s="71"/>
      <c r="R297" s="21"/>
    </row>
    <row r="298" spans="2:18" s="1" customFormat="1" x14ac:dyDescent="0.25">
      <c r="B298" s="68"/>
      <c r="C298" s="128"/>
      <c r="D298" s="128"/>
      <c r="E298" s="154"/>
      <c r="F298" s="122"/>
      <c r="G298" s="123"/>
      <c r="H298" s="123"/>
      <c r="I298" s="123"/>
      <c r="J298" s="124"/>
      <c r="K298" s="125">
        <f>SUM(K296:K297)</f>
        <v>2</v>
      </c>
      <c r="L298" s="69"/>
      <c r="M298" s="70"/>
      <c r="N298" s="67"/>
      <c r="O298" s="71"/>
      <c r="P298" s="67"/>
      <c r="Q298" s="71"/>
      <c r="R298" s="21"/>
    </row>
    <row r="299" spans="2:18" s="1" customFormat="1" ht="19.5" customHeight="1" x14ac:dyDescent="0.25">
      <c r="B299" s="20"/>
      <c r="C299" s="163">
        <v>40</v>
      </c>
      <c r="D299" s="163" t="s">
        <v>74</v>
      </c>
      <c r="E299" s="164" t="s">
        <v>275</v>
      </c>
      <c r="F299" s="346" t="s">
        <v>276</v>
      </c>
      <c r="G299" s="347"/>
      <c r="H299" s="347"/>
      <c r="I299" s="347"/>
      <c r="J299" s="126" t="s">
        <v>76</v>
      </c>
      <c r="K299" s="73">
        <f>K303</f>
        <v>9</v>
      </c>
      <c r="L299" s="147"/>
      <c r="M299" s="110">
        <f>ROUND(L299*K299,2)</f>
        <v>0</v>
      </c>
      <c r="N299" s="80">
        <v>0</v>
      </c>
      <c r="O299" s="73">
        <f>N299*K299</f>
        <v>0</v>
      </c>
      <c r="P299" s="80">
        <v>0</v>
      </c>
      <c r="Q299" s="73">
        <f>P299*K299</f>
        <v>0</v>
      </c>
      <c r="R299" s="105"/>
    </row>
    <row r="300" spans="2:18" s="1" customFormat="1" x14ac:dyDescent="0.25">
      <c r="B300" s="20"/>
      <c r="C300" s="299">
        <v>36</v>
      </c>
      <c r="D300" s="299" t="s">
        <v>74</v>
      </c>
      <c r="E300" s="300"/>
      <c r="F300" s="382" t="s">
        <v>277</v>
      </c>
      <c r="G300" s="382"/>
      <c r="H300" s="382"/>
      <c r="I300" s="382"/>
      <c r="J300" s="301" t="s">
        <v>116</v>
      </c>
      <c r="K300" s="196">
        <v>5</v>
      </c>
      <c r="L300" s="197"/>
      <c r="M300" s="253">
        <f t="shared" ref="M300" si="12">ROUND(L300*K300,2)</f>
        <v>0</v>
      </c>
      <c r="N300" s="198">
        <v>0</v>
      </c>
      <c r="O300" s="196">
        <f t="shared" ref="O300" si="13">N300*K300</f>
        <v>0</v>
      </c>
      <c r="P300" s="198">
        <v>0</v>
      </c>
      <c r="Q300" s="196">
        <f t="shared" ref="Q300" si="14">P300*K300</f>
        <v>0</v>
      </c>
      <c r="R300" s="105"/>
    </row>
    <row r="301" spans="2:18" s="1" customFormat="1" x14ac:dyDescent="0.25">
      <c r="B301" s="68"/>
      <c r="C301" s="128"/>
      <c r="D301" s="128"/>
      <c r="E301" s="187" t="s">
        <v>252</v>
      </c>
      <c r="F301" s="264"/>
      <c r="G301" s="265"/>
      <c r="H301" s="265"/>
      <c r="I301" s="265"/>
      <c r="J301" s="265"/>
      <c r="K301" s="134">
        <v>4.5</v>
      </c>
      <c r="L301" s="69"/>
      <c r="M301" s="70"/>
      <c r="N301" s="67"/>
      <c r="O301" s="71"/>
      <c r="P301" s="67"/>
      <c r="Q301" s="71"/>
      <c r="R301" s="21"/>
    </row>
    <row r="302" spans="2:18" s="1" customFormat="1" x14ac:dyDescent="0.25">
      <c r="B302" s="68"/>
      <c r="C302" s="128"/>
      <c r="D302" s="128"/>
      <c r="E302" s="187" t="s">
        <v>287</v>
      </c>
      <c r="F302" s="264"/>
      <c r="G302" s="265"/>
      <c r="H302" s="265"/>
      <c r="I302" s="265"/>
      <c r="J302" s="265"/>
      <c r="K302" s="134">
        <v>4.5</v>
      </c>
      <c r="L302" s="69"/>
      <c r="M302" s="70"/>
      <c r="N302" s="67"/>
      <c r="O302" s="71"/>
      <c r="P302" s="67"/>
      <c r="Q302" s="71"/>
      <c r="R302" s="21"/>
    </row>
    <row r="303" spans="2:18" s="1" customFormat="1" x14ac:dyDescent="0.25">
      <c r="B303" s="68"/>
      <c r="C303" s="128"/>
      <c r="D303" s="128"/>
      <c r="E303" s="154"/>
      <c r="F303" s="122"/>
      <c r="G303" s="123"/>
      <c r="H303" s="123"/>
      <c r="I303" s="123"/>
      <c r="J303" s="124"/>
      <c r="K303" s="125">
        <f>SUM(K301:K302)</f>
        <v>9</v>
      </c>
      <c r="L303" s="69"/>
      <c r="M303" s="70"/>
      <c r="N303" s="67"/>
      <c r="O303" s="71"/>
      <c r="P303" s="67"/>
      <c r="Q303" s="71"/>
      <c r="R303" s="21"/>
    </row>
    <row r="304" spans="2:18" s="1" customFormat="1" ht="24.75" customHeight="1" x14ac:dyDescent="0.25">
      <c r="B304" s="20"/>
      <c r="C304" s="163">
        <v>38</v>
      </c>
      <c r="D304" s="163" t="s">
        <v>74</v>
      </c>
      <c r="E304" s="164" t="s">
        <v>90</v>
      </c>
      <c r="F304" s="346" t="s">
        <v>89</v>
      </c>
      <c r="G304" s="347"/>
      <c r="H304" s="347"/>
      <c r="I304" s="347"/>
      <c r="J304" s="126" t="s">
        <v>76</v>
      </c>
      <c r="K304" s="73">
        <f>K310</f>
        <v>606.5</v>
      </c>
      <c r="L304" s="147"/>
      <c r="M304" s="110">
        <f>ROUND(L304*K304,2)</f>
        <v>0</v>
      </c>
      <c r="N304" s="80">
        <v>0</v>
      </c>
      <c r="O304" s="73">
        <f>N304*K304</f>
        <v>0</v>
      </c>
      <c r="P304" s="80">
        <v>0</v>
      </c>
      <c r="Q304" s="73">
        <f>P304*K304</f>
        <v>0</v>
      </c>
      <c r="R304" s="105"/>
    </row>
    <row r="305" spans="2:18" s="1" customFormat="1" x14ac:dyDescent="0.25">
      <c r="B305" s="20"/>
      <c r="C305" s="167">
        <v>39</v>
      </c>
      <c r="D305" s="167" t="s">
        <v>74</v>
      </c>
      <c r="E305" s="168" t="s">
        <v>91</v>
      </c>
      <c r="F305" s="348" t="s">
        <v>92</v>
      </c>
      <c r="G305" s="349"/>
      <c r="H305" s="349"/>
      <c r="I305" s="349"/>
      <c r="J305" s="129" t="s">
        <v>76</v>
      </c>
      <c r="K305" s="74">
        <f>K310</f>
        <v>606.5</v>
      </c>
      <c r="L305" s="148"/>
      <c r="M305" s="102">
        <f>ROUND(L305*K305,2)</f>
        <v>0</v>
      </c>
      <c r="N305" s="81">
        <v>0</v>
      </c>
      <c r="O305" s="74">
        <f>N305*K305</f>
        <v>0</v>
      </c>
      <c r="P305" s="81">
        <v>0</v>
      </c>
      <c r="Q305" s="74">
        <f>P305*K305</f>
        <v>0</v>
      </c>
      <c r="R305" s="105"/>
    </row>
    <row r="306" spans="2:18" s="1" customFormat="1" x14ac:dyDescent="0.25">
      <c r="B306" s="20"/>
      <c r="C306" s="165">
        <v>40</v>
      </c>
      <c r="D306" s="165" t="s">
        <v>74</v>
      </c>
      <c r="E306" s="166" t="s">
        <v>100</v>
      </c>
      <c r="F306" s="342" t="s">
        <v>101</v>
      </c>
      <c r="G306" s="343"/>
      <c r="H306" s="343"/>
      <c r="I306" s="343"/>
      <c r="J306" s="127" t="s">
        <v>76</v>
      </c>
      <c r="K306" s="75">
        <f>K310</f>
        <v>606.5</v>
      </c>
      <c r="L306" s="149"/>
      <c r="M306" s="111">
        <f>ROUND(L306*K306,2)</f>
        <v>0</v>
      </c>
      <c r="N306" s="82">
        <v>1E-4</v>
      </c>
      <c r="O306" s="75">
        <f>N306*K306</f>
        <v>6.0650000000000003E-2</v>
      </c>
      <c r="P306" s="82">
        <v>0</v>
      </c>
      <c r="Q306" s="75">
        <f>P306*K306</f>
        <v>0</v>
      </c>
      <c r="R306" s="105"/>
    </row>
    <row r="307" spans="2:18" s="1" customFormat="1" x14ac:dyDescent="0.25">
      <c r="B307" s="68"/>
      <c r="C307" s="128"/>
      <c r="D307" s="128"/>
      <c r="E307" s="187" t="s">
        <v>125</v>
      </c>
      <c r="F307" s="339" t="s">
        <v>197</v>
      </c>
      <c r="G307" s="339"/>
      <c r="H307" s="339"/>
      <c r="I307" s="339"/>
      <c r="J307" s="339"/>
      <c r="K307" s="134">
        <f>26+95*2+5.5</f>
        <v>221.5</v>
      </c>
      <c r="L307" s="69"/>
      <c r="M307" s="70"/>
      <c r="N307" s="67"/>
      <c r="O307" s="71"/>
      <c r="P307" s="67"/>
      <c r="Q307" s="71"/>
      <c r="R307" s="21"/>
    </row>
    <row r="308" spans="2:18" s="1" customFormat="1" x14ac:dyDescent="0.25">
      <c r="B308" s="68"/>
      <c r="C308" s="128"/>
      <c r="D308" s="128"/>
      <c r="E308" s="187" t="s">
        <v>126</v>
      </c>
      <c r="F308" s="213" t="s">
        <v>207</v>
      </c>
      <c r="G308" s="189"/>
      <c r="H308" s="189"/>
      <c r="I308" s="189"/>
      <c r="J308" s="189"/>
      <c r="K308" s="134">
        <f>5.5+95+5.5+118</f>
        <v>224</v>
      </c>
      <c r="L308" s="69"/>
      <c r="M308" s="70"/>
      <c r="N308" s="67"/>
      <c r="O308" s="71"/>
      <c r="P308" s="67"/>
      <c r="Q308" s="71"/>
      <c r="R308" s="21"/>
    </row>
    <row r="309" spans="2:18" s="1" customFormat="1" x14ac:dyDescent="0.25">
      <c r="B309" s="68"/>
      <c r="C309" s="128"/>
      <c r="D309" s="128"/>
      <c r="E309" s="155" t="s">
        <v>143</v>
      </c>
      <c r="F309" s="188" t="s">
        <v>208</v>
      </c>
      <c r="G309" s="153"/>
      <c r="H309" s="153"/>
      <c r="I309" s="153"/>
      <c r="J309" s="153"/>
      <c r="K309" s="157">
        <f>5.5+12.7+5.5+137.3</f>
        <v>161</v>
      </c>
      <c r="L309" s="69"/>
      <c r="M309" s="70"/>
      <c r="N309" s="67"/>
      <c r="O309" s="71"/>
      <c r="P309" s="67"/>
      <c r="Q309" s="71"/>
      <c r="R309" s="21"/>
    </row>
    <row r="310" spans="2:18" s="1" customFormat="1" x14ac:dyDescent="0.25">
      <c r="B310" s="68"/>
      <c r="C310" s="128"/>
      <c r="D310" s="128"/>
      <c r="E310" s="154"/>
      <c r="F310" s="122"/>
      <c r="G310" s="123"/>
      <c r="H310" s="123"/>
      <c r="I310" s="123"/>
      <c r="J310" s="124"/>
      <c r="K310" s="125">
        <f>SUM(K307:K309)</f>
        <v>606.5</v>
      </c>
      <c r="L310" s="69"/>
      <c r="M310" s="70"/>
      <c r="N310" s="67"/>
      <c r="O310" s="71"/>
      <c r="P310" s="67"/>
      <c r="Q310" s="71"/>
      <c r="R310" s="21"/>
    </row>
    <row r="311" spans="2:18" s="1" customFormat="1" ht="27" customHeight="1" x14ac:dyDescent="0.25">
      <c r="B311" s="20"/>
      <c r="C311" s="161">
        <v>41</v>
      </c>
      <c r="D311" s="161" t="s">
        <v>74</v>
      </c>
      <c r="E311" s="162" t="s">
        <v>146</v>
      </c>
      <c r="F311" s="340" t="s">
        <v>147</v>
      </c>
      <c r="G311" s="344"/>
      <c r="H311" s="344"/>
      <c r="I311" s="344"/>
      <c r="J311" s="121" t="s">
        <v>77</v>
      </c>
      <c r="K311" s="72">
        <f>K315</f>
        <v>7</v>
      </c>
      <c r="L311" s="146"/>
      <c r="M311" s="109">
        <f t="shared" ref="M311" si="15">ROUND(L311*K311,2)</f>
        <v>0</v>
      </c>
      <c r="N311" s="79">
        <v>0.32973999999999998</v>
      </c>
      <c r="O311" s="72">
        <f t="shared" ref="O311" si="16">N311*K311</f>
        <v>2.3081799999999997</v>
      </c>
      <c r="P311" s="79">
        <v>0</v>
      </c>
      <c r="Q311" s="72">
        <f t="shared" ref="Q311" si="17">P311*K311</f>
        <v>0</v>
      </c>
      <c r="R311" s="105"/>
    </row>
    <row r="312" spans="2:18" s="1" customFormat="1" x14ac:dyDescent="0.25">
      <c r="B312" s="68"/>
      <c r="C312" s="128"/>
      <c r="D312" s="128"/>
      <c r="E312" s="187" t="s">
        <v>125</v>
      </c>
      <c r="F312" s="339"/>
      <c r="G312" s="339"/>
      <c r="H312" s="339"/>
      <c r="I312" s="339"/>
      <c r="J312" s="339"/>
      <c r="K312" s="134">
        <v>1</v>
      </c>
      <c r="L312" s="69"/>
      <c r="M312" s="70"/>
      <c r="N312" s="67"/>
      <c r="O312" s="71"/>
      <c r="P312" s="67"/>
      <c r="Q312" s="71"/>
      <c r="R312" s="21"/>
    </row>
    <row r="313" spans="2:18" s="1" customFormat="1" x14ac:dyDescent="0.25">
      <c r="B313" s="68"/>
      <c r="C313" s="128"/>
      <c r="D313" s="128"/>
      <c r="E313" s="187" t="s">
        <v>126</v>
      </c>
      <c r="F313" s="189"/>
      <c r="G313" s="189"/>
      <c r="H313" s="189"/>
      <c r="I313" s="189"/>
      <c r="J313" s="189"/>
      <c r="K313" s="134">
        <v>2</v>
      </c>
      <c r="L313" s="69"/>
      <c r="M313" s="70"/>
      <c r="N313" s="67"/>
      <c r="O313" s="71"/>
      <c r="P313" s="67"/>
      <c r="Q313" s="71"/>
      <c r="R313" s="21"/>
    </row>
    <row r="314" spans="2:18" s="1" customFormat="1" x14ac:dyDescent="0.25">
      <c r="B314" s="68"/>
      <c r="C314" s="128"/>
      <c r="D314" s="128"/>
      <c r="E314" s="155" t="s">
        <v>143</v>
      </c>
      <c r="F314" s="188"/>
      <c r="G314" s="153"/>
      <c r="H314" s="153"/>
      <c r="I314" s="153"/>
      <c r="J314" s="153"/>
      <c r="K314" s="157">
        <v>4</v>
      </c>
      <c r="L314" s="69"/>
      <c r="M314" s="70"/>
      <c r="N314" s="67"/>
      <c r="O314" s="71"/>
      <c r="P314" s="67"/>
      <c r="Q314" s="71"/>
      <c r="R314" s="21"/>
    </row>
    <row r="315" spans="2:18" s="1" customFormat="1" x14ac:dyDescent="0.25">
      <c r="B315" s="68"/>
      <c r="C315" s="128"/>
      <c r="D315" s="128"/>
      <c r="E315" s="154"/>
      <c r="F315" s="122"/>
      <c r="G315" s="123"/>
      <c r="H315" s="123"/>
      <c r="I315" s="123"/>
      <c r="J315" s="124"/>
      <c r="K315" s="125">
        <f>SUM(K312:K314)</f>
        <v>7</v>
      </c>
      <c r="L315" s="69"/>
      <c r="M315" s="70"/>
      <c r="N315" s="67"/>
      <c r="O315" s="71"/>
      <c r="P315" s="67"/>
      <c r="Q315" s="71"/>
      <c r="R315" s="21"/>
    </row>
    <row r="316" spans="2:18" s="1" customFormat="1" ht="27" customHeight="1" x14ac:dyDescent="0.25">
      <c r="B316" s="20"/>
      <c r="C316" s="161">
        <v>42</v>
      </c>
      <c r="D316" s="161" t="s">
        <v>74</v>
      </c>
      <c r="E316" s="162" t="s">
        <v>145</v>
      </c>
      <c r="F316" s="340" t="s">
        <v>144</v>
      </c>
      <c r="G316" s="344"/>
      <c r="H316" s="344"/>
      <c r="I316" s="344"/>
      <c r="J316" s="121" t="s">
        <v>77</v>
      </c>
      <c r="K316" s="72">
        <f>K320</f>
        <v>12</v>
      </c>
      <c r="L316" s="146"/>
      <c r="M316" s="109">
        <f t="shared" ref="M316" si="18">ROUND(L316*K316,2)</f>
        <v>0</v>
      </c>
      <c r="N316" s="79">
        <v>0.32272000000000001</v>
      </c>
      <c r="O316" s="72">
        <f t="shared" ref="O316" si="19">N316*K316</f>
        <v>3.8726400000000001</v>
      </c>
      <c r="P316" s="79">
        <v>0</v>
      </c>
      <c r="Q316" s="72">
        <f t="shared" ref="Q316" si="20">P316*K316</f>
        <v>0</v>
      </c>
      <c r="R316" s="105"/>
    </row>
    <row r="317" spans="2:18" s="1" customFormat="1" x14ac:dyDescent="0.25">
      <c r="B317" s="68"/>
      <c r="C317" s="128"/>
      <c r="D317" s="128"/>
      <c r="E317" s="187" t="s">
        <v>125</v>
      </c>
      <c r="F317" s="339"/>
      <c r="G317" s="339"/>
      <c r="H317" s="339"/>
      <c r="I317" s="339"/>
      <c r="J317" s="339"/>
      <c r="K317" s="134">
        <v>2</v>
      </c>
      <c r="L317" s="69"/>
      <c r="M317" s="70"/>
      <c r="N317" s="67"/>
      <c r="O317" s="71"/>
      <c r="P317" s="67"/>
      <c r="Q317" s="71"/>
      <c r="R317" s="21"/>
    </row>
    <row r="318" spans="2:18" s="1" customFormat="1" x14ac:dyDescent="0.25">
      <c r="B318" s="68"/>
      <c r="C318" s="128"/>
      <c r="D318" s="128"/>
      <c r="E318" s="187" t="s">
        <v>126</v>
      </c>
      <c r="F318" s="189"/>
      <c r="G318" s="189"/>
      <c r="H318" s="189"/>
      <c r="I318" s="189"/>
      <c r="J318" s="189"/>
      <c r="K318" s="134">
        <v>5</v>
      </c>
      <c r="L318" s="69"/>
      <c r="M318" s="70"/>
      <c r="N318" s="67"/>
      <c r="O318" s="71"/>
      <c r="P318" s="67"/>
      <c r="Q318" s="71"/>
      <c r="R318" s="21"/>
    </row>
    <row r="319" spans="2:18" s="1" customFormat="1" x14ac:dyDescent="0.25">
      <c r="B319" s="68"/>
      <c r="C319" s="128"/>
      <c r="D319" s="128"/>
      <c r="E319" s="155" t="s">
        <v>143</v>
      </c>
      <c r="F319" s="188"/>
      <c r="G319" s="153"/>
      <c r="H319" s="153"/>
      <c r="I319" s="153"/>
      <c r="J319" s="153"/>
      <c r="K319" s="157">
        <v>5</v>
      </c>
      <c r="L319" s="69"/>
      <c r="M319" s="70"/>
      <c r="N319" s="67"/>
      <c r="O319" s="71"/>
      <c r="P319" s="67"/>
      <c r="Q319" s="71"/>
      <c r="R319" s="21"/>
    </row>
    <row r="320" spans="2:18" s="1" customFormat="1" x14ac:dyDescent="0.25">
      <c r="B320" s="68"/>
      <c r="C320" s="128"/>
      <c r="D320" s="128"/>
      <c r="E320" s="154"/>
      <c r="F320" s="122"/>
      <c r="G320" s="123"/>
      <c r="H320" s="123"/>
      <c r="I320" s="123"/>
      <c r="J320" s="124"/>
      <c r="K320" s="125">
        <f>SUM(K317:K319)</f>
        <v>12</v>
      </c>
      <c r="L320" s="69"/>
      <c r="M320" s="70"/>
      <c r="N320" s="67"/>
      <c r="O320" s="71"/>
      <c r="P320" s="67"/>
      <c r="Q320" s="71"/>
      <c r="R320" s="21"/>
    </row>
    <row r="321" spans="2:18" s="1" customFormat="1" ht="27" customHeight="1" x14ac:dyDescent="0.25">
      <c r="B321" s="20"/>
      <c r="C321" s="161">
        <v>43</v>
      </c>
      <c r="D321" s="161" t="s">
        <v>74</v>
      </c>
      <c r="E321" s="162" t="s">
        <v>112</v>
      </c>
      <c r="F321" s="340" t="s">
        <v>148</v>
      </c>
      <c r="G321" s="340"/>
      <c r="H321" s="340"/>
      <c r="I321" s="340"/>
      <c r="J321" s="121" t="s">
        <v>77</v>
      </c>
      <c r="K321" s="72">
        <f>K325</f>
        <v>19</v>
      </c>
      <c r="L321" s="146"/>
      <c r="M321" s="109">
        <f>ROUND(L321*K321,2)</f>
        <v>0</v>
      </c>
      <c r="N321" s="79">
        <f>0.345*2</f>
        <v>0.69</v>
      </c>
      <c r="O321" s="72">
        <f>N321*K321</f>
        <v>13.11</v>
      </c>
      <c r="P321" s="79">
        <v>0</v>
      </c>
      <c r="Q321" s="72">
        <f>P321*K321</f>
        <v>0</v>
      </c>
      <c r="R321" s="105"/>
    </row>
    <row r="322" spans="2:18" s="1" customFormat="1" x14ac:dyDescent="0.25">
      <c r="B322" s="68"/>
      <c r="C322" s="128"/>
      <c r="D322" s="128"/>
      <c r="E322" s="187" t="s">
        <v>125</v>
      </c>
      <c r="F322" s="339"/>
      <c r="G322" s="339"/>
      <c r="H322" s="339"/>
      <c r="I322" s="339"/>
      <c r="J322" s="339"/>
      <c r="K322" s="134">
        <f>K317+K312</f>
        <v>3</v>
      </c>
      <c r="L322" s="69"/>
      <c r="M322" s="70"/>
      <c r="N322" s="67"/>
      <c r="O322" s="71"/>
      <c r="P322" s="67"/>
      <c r="Q322" s="71"/>
      <c r="R322" s="21"/>
    </row>
    <row r="323" spans="2:18" s="1" customFormat="1" x14ac:dyDescent="0.25">
      <c r="B323" s="68"/>
      <c r="C323" s="128"/>
      <c r="D323" s="128"/>
      <c r="E323" s="187" t="s">
        <v>126</v>
      </c>
      <c r="F323" s="189"/>
      <c r="G323" s="189"/>
      <c r="H323" s="189"/>
      <c r="I323" s="189"/>
      <c r="J323" s="189"/>
      <c r="K323" s="134">
        <f t="shared" ref="K323:K324" si="21">K318+K313</f>
        <v>7</v>
      </c>
      <c r="L323" s="69"/>
      <c r="M323" s="70"/>
      <c r="N323" s="67"/>
      <c r="O323" s="71"/>
      <c r="P323" s="67"/>
      <c r="Q323" s="71"/>
      <c r="R323" s="21"/>
    </row>
    <row r="324" spans="2:18" s="1" customFormat="1" x14ac:dyDescent="0.25">
      <c r="B324" s="68"/>
      <c r="C324" s="128"/>
      <c r="D324" s="128"/>
      <c r="E324" s="155" t="s">
        <v>143</v>
      </c>
      <c r="F324" s="188"/>
      <c r="G324" s="153"/>
      <c r="H324" s="153"/>
      <c r="I324" s="153"/>
      <c r="J324" s="153"/>
      <c r="K324" s="134">
        <f t="shared" si="21"/>
        <v>9</v>
      </c>
      <c r="L324" s="69"/>
      <c r="M324" s="70"/>
      <c r="N324" s="67"/>
      <c r="O324" s="71"/>
      <c r="P324" s="67"/>
      <c r="Q324" s="71"/>
      <c r="R324" s="21"/>
    </row>
    <row r="325" spans="2:18" s="1" customFormat="1" x14ac:dyDescent="0.25">
      <c r="B325" s="68"/>
      <c r="C325" s="128"/>
      <c r="D325" s="128"/>
      <c r="E325" s="154"/>
      <c r="F325" s="122"/>
      <c r="G325" s="123"/>
      <c r="H325" s="123"/>
      <c r="I325" s="123"/>
      <c r="J325" s="124"/>
      <c r="K325" s="125">
        <f>SUM(K322:K324)</f>
        <v>19</v>
      </c>
      <c r="L325" s="69"/>
      <c r="M325" s="70"/>
      <c r="N325" s="67"/>
      <c r="O325" s="71"/>
      <c r="P325" s="67"/>
      <c r="Q325" s="71"/>
      <c r="R325" s="21"/>
    </row>
    <row r="326" spans="2:18" s="1" customFormat="1" ht="41.25" customHeight="1" x14ac:dyDescent="0.25">
      <c r="B326" s="20"/>
      <c r="C326" s="161">
        <v>44</v>
      </c>
      <c r="D326" s="161" t="s">
        <v>74</v>
      </c>
      <c r="E326" s="162" t="s">
        <v>127</v>
      </c>
      <c r="F326" s="340" t="s">
        <v>246</v>
      </c>
      <c r="G326" s="340"/>
      <c r="H326" s="340"/>
      <c r="I326" s="340"/>
      <c r="J326" s="121" t="s">
        <v>77</v>
      </c>
      <c r="K326" s="72">
        <f>K330</f>
        <v>178</v>
      </c>
      <c r="L326" s="146"/>
      <c r="M326" s="109">
        <f>ROUND(L326*K326,2)</f>
        <v>0</v>
      </c>
      <c r="N326" s="79">
        <v>0</v>
      </c>
      <c r="O326" s="72">
        <f>N326*K326</f>
        <v>0</v>
      </c>
      <c r="P326" s="79">
        <v>0</v>
      </c>
      <c r="Q326" s="72">
        <f>P326*K326</f>
        <v>0</v>
      </c>
      <c r="R326" s="105"/>
    </row>
    <row r="327" spans="2:18" s="1" customFormat="1" ht="13.5" customHeight="1" x14ac:dyDescent="0.25">
      <c r="B327" s="68"/>
      <c r="C327" s="128"/>
      <c r="D327" s="128"/>
      <c r="E327" s="187" t="s">
        <v>125</v>
      </c>
      <c r="F327" s="362" t="s">
        <v>180</v>
      </c>
      <c r="G327" s="362"/>
      <c r="H327" s="362"/>
      <c r="I327" s="362"/>
      <c r="J327" s="362"/>
      <c r="K327" s="156">
        <f>95-2</f>
        <v>93</v>
      </c>
      <c r="L327" s="69"/>
      <c r="M327" s="70"/>
      <c r="N327" s="67"/>
      <c r="O327" s="71"/>
      <c r="P327" s="67"/>
      <c r="Q327" s="71"/>
      <c r="R327" s="21"/>
    </row>
    <row r="328" spans="2:18" s="1" customFormat="1" ht="13.5" customHeight="1" x14ac:dyDescent="0.25">
      <c r="B328" s="68"/>
      <c r="C328" s="128"/>
      <c r="D328" s="128"/>
      <c r="E328" s="187" t="s">
        <v>126</v>
      </c>
      <c r="F328" s="189" t="s">
        <v>179</v>
      </c>
      <c r="G328" s="189"/>
      <c r="H328" s="189"/>
      <c r="I328" s="189"/>
      <c r="J328" s="189"/>
      <c r="K328" s="134">
        <f>95-10</f>
        <v>85</v>
      </c>
      <c r="L328" s="69"/>
      <c r="M328" s="70"/>
      <c r="N328" s="67"/>
      <c r="O328" s="71"/>
      <c r="P328" s="67"/>
      <c r="Q328" s="71"/>
      <c r="R328" s="21"/>
    </row>
    <row r="329" spans="2:18" s="1" customFormat="1" x14ac:dyDescent="0.25">
      <c r="B329" s="68"/>
      <c r="C329" s="128"/>
      <c r="D329" s="128"/>
      <c r="E329" s="155" t="s">
        <v>143</v>
      </c>
      <c r="F329" s="153"/>
      <c r="G329" s="153"/>
      <c r="H329" s="153"/>
      <c r="I329" s="153"/>
      <c r="J329" s="153"/>
      <c r="K329" s="157"/>
      <c r="L329" s="69"/>
      <c r="M329" s="70"/>
      <c r="N329" s="67"/>
      <c r="O329" s="71"/>
      <c r="P329" s="67"/>
      <c r="Q329" s="71"/>
      <c r="R329" s="21"/>
    </row>
    <row r="330" spans="2:18" s="1" customFormat="1" x14ac:dyDescent="0.25">
      <c r="B330" s="68"/>
      <c r="C330" s="128"/>
      <c r="D330" s="128"/>
      <c r="E330" s="154"/>
      <c r="F330" s="122"/>
      <c r="G330" s="123"/>
      <c r="H330" s="123"/>
      <c r="I330" s="123"/>
      <c r="J330" s="124"/>
      <c r="K330" s="125">
        <f>SUM(K327:K329)</f>
        <v>178</v>
      </c>
      <c r="L330" s="69"/>
      <c r="M330" s="70"/>
      <c r="N330" s="67"/>
      <c r="O330" s="71"/>
      <c r="P330" s="67"/>
      <c r="Q330" s="71"/>
      <c r="R330" s="21"/>
    </row>
    <row r="331" spans="2:18" s="99" customFormat="1" ht="15.75" x14ac:dyDescent="0.35">
      <c r="B331" s="98"/>
      <c r="D331" s="84" t="s">
        <v>67</v>
      </c>
      <c r="E331" s="84"/>
      <c r="F331" s="84"/>
      <c r="G331" s="84"/>
      <c r="H331" s="84"/>
      <c r="I331" s="84"/>
      <c r="J331" s="84"/>
      <c r="K331" s="84"/>
      <c r="L331" s="84"/>
      <c r="M331" s="108">
        <f>SUM(M332:M337)</f>
        <v>0</v>
      </c>
      <c r="O331" s="254">
        <f>SUM(O332:O337)</f>
        <v>0</v>
      </c>
      <c r="P331" s="255"/>
      <c r="Q331" s="254">
        <f>SUM(Q332:Q337)</f>
        <v>0</v>
      </c>
      <c r="R331" s="104"/>
    </row>
    <row r="332" spans="2:18" s="1" customFormat="1" x14ac:dyDescent="0.25">
      <c r="B332" s="20"/>
      <c r="C332" s="163">
        <v>45</v>
      </c>
      <c r="D332" s="163" t="s">
        <v>74</v>
      </c>
      <c r="E332" s="164" t="s">
        <v>106</v>
      </c>
      <c r="F332" s="346" t="s">
        <v>107</v>
      </c>
      <c r="G332" s="347"/>
      <c r="H332" s="347"/>
      <c r="I332" s="347"/>
      <c r="J332" s="126" t="s">
        <v>78</v>
      </c>
      <c r="K332" s="73">
        <f>K337+K336+Q134</f>
        <v>567.84500000000003</v>
      </c>
      <c r="L332" s="147"/>
      <c r="M332" s="110">
        <f t="shared" ref="M332:M337" si="22">ROUND(L332*K332,2)</f>
        <v>0</v>
      </c>
      <c r="N332" s="80">
        <v>0</v>
      </c>
      <c r="O332" s="73">
        <v>0</v>
      </c>
      <c r="P332" s="80">
        <v>0</v>
      </c>
      <c r="Q332" s="73">
        <v>0</v>
      </c>
      <c r="R332" s="21"/>
    </row>
    <row r="333" spans="2:18" s="1" customFormat="1" x14ac:dyDescent="0.25">
      <c r="B333" s="20"/>
      <c r="C333" s="167">
        <v>46</v>
      </c>
      <c r="D333" s="167" t="s">
        <v>74</v>
      </c>
      <c r="E333" s="168" t="s">
        <v>110</v>
      </c>
      <c r="F333" s="348" t="s">
        <v>111</v>
      </c>
      <c r="G333" s="349"/>
      <c r="H333" s="349"/>
      <c r="I333" s="349"/>
      <c r="J333" s="129" t="s">
        <v>78</v>
      </c>
      <c r="K333" s="74">
        <f>K332</f>
        <v>567.84500000000003</v>
      </c>
      <c r="L333" s="148"/>
      <c r="M333" s="102">
        <f t="shared" si="22"/>
        <v>0</v>
      </c>
      <c r="N333" s="81">
        <v>0</v>
      </c>
      <c r="O333" s="74">
        <v>0</v>
      </c>
      <c r="P333" s="81">
        <v>0</v>
      </c>
      <c r="Q333" s="74">
        <v>0</v>
      </c>
      <c r="R333" s="21"/>
    </row>
    <row r="334" spans="2:18" s="1" customFormat="1" x14ac:dyDescent="0.25">
      <c r="B334" s="20"/>
      <c r="C334" s="167">
        <v>47</v>
      </c>
      <c r="D334" s="167" t="s">
        <v>74</v>
      </c>
      <c r="E334" s="168" t="s">
        <v>108</v>
      </c>
      <c r="F334" s="348" t="s">
        <v>109</v>
      </c>
      <c r="G334" s="349"/>
      <c r="H334" s="349"/>
      <c r="I334" s="349"/>
      <c r="J334" s="129" t="s">
        <v>78</v>
      </c>
      <c r="K334" s="74">
        <f>(K336+K337)*5</f>
        <v>2582.7250000000004</v>
      </c>
      <c r="L334" s="148"/>
      <c r="M334" s="102">
        <f t="shared" si="22"/>
        <v>0</v>
      </c>
      <c r="N334" s="81">
        <v>0</v>
      </c>
      <c r="O334" s="74">
        <v>0</v>
      </c>
      <c r="P334" s="81">
        <v>0</v>
      </c>
      <c r="Q334" s="74">
        <v>0</v>
      </c>
      <c r="R334" s="21"/>
    </row>
    <row r="335" spans="2:18" s="1" customFormat="1" x14ac:dyDescent="0.25">
      <c r="B335" s="20"/>
      <c r="C335" s="248">
        <v>48</v>
      </c>
      <c r="D335" s="167" t="s">
        <v>74</v>
      </c>
      <c r="E335" s="168" t="s">
        <v>247</v>
      </c>
      <c r="F335" s="348" t="s">
        <v>248</v>
      </c>
      <c r="G335" s="349"/>
      <c r="H335" s="349"/>
      <c r="I335" s="349"/>
      <c r="J335" s="129" t="s">
        <v>78</v>
      </c>
      <c r="K335" s="74">
        <f>Q177</f>
        <v>1.4850000000000001</v>
      </c>
      <c r="L335" s="148"/>
      <c r="M335" s="102">
        <f t="shared" si="22"/>
        <v>0</v>
      </c>
      <c r="N335" s="81">
        <v>0</v>
      </c>
      <c r="O335" s="74">
        <v>0</v>
      </c>
      <c r="P335" s="81">
        <v>0</v>
      </c>
      <c r="Q335" s="74">
        <v>0</v>
      </c>
      <c r="R335" s="21"/>
    </row>
    <row r="336" spans="2:18" s="1" customFormat="1" x14ac:dyDescent="0.25">
      <c r="B336" s="20"/>
      <c r="C336" s="160">
        <v>49</v>
      </c>
      <c r="D336" s="167" t="s">
        <v>74</v>
      </c>
      <c r="E336" s="168" t="s">
        <v>102</v>
      </c>
      <c r="F336" s="348" t="s">
        <v>103</v>
      </c>
      <c r="G336" s="349"/>
      <c r="H336" s="349"/>
      <c r="I336" s="349"/>
      <c r="J336" s="129" t="s">
        <v>78</v>
      </c>
      <c r="K336" s="74">
        <f>Q139+Q145+Q176</f>
        <v>213.9075</v>
      </c>
      <c r="L336" s="148"/>
      <c r="M336" s="102">
        <f t="shared" si="22"/>
        <v>0</v>
      </c>
      <c r="N336" s="81">
        <v>0</v>
      </c>
      <c r="O336" s="74">
        <v>0</v>
      </c>
      <c r="P336" s="81">
        <v>0</v>
      </c>
      <c r="Q336" s="74">
        <v>0</v>
      </c>
      <c r="R336" s="21"/>
    </row>
    <row r="337" spans="1:18" s="1" customFormat="1" ht="27" customHeight="1" x14ac:dyDescent="0.25">
      <c r="B337" s="20"/>
      <c r="C337" s="151">
        <v>50</v>
      </c>
      <c r="D337" s="165" t="s">
        <v>74</v>
      </c>
      <c r="E337" s="166" t="s">
        <v>104</v>
      </c>
      <c r="F337" s="342" t="s">
        <v>105</v>
      </c>
      <c r="G337" s="343"/>
      <c r="H337" s="343"/>
      <c r="I337" s="343"/>
      <c r="J337" s="127" t="s">
        <v>78</v>
      </c>
      <c r="K337" s="75">
        <f>Q167+Q162+Q156+Q151</f>
        <v>302.63750000000005</v>
      </c>
      <c r="L337" s="149"/>
      <c r="M337" s="111">
        <f t="shared" si="22"/>
        <v>0</v>
      </c>
      <c r="N337" s="82">
        <v>0</v>
      </c>
      <c r="O337" s="75">
        <v>0</v>
      </c>
      <c r="P337" s="82">
        <v>0</v>
      </c>
      <c r="Q337" s="75">
        <v>0</v>
      </c>
      <c r="R337" s="21"/>
    </row>
    <row r="338" spans="1:18" s="99" customFormat="1" ht="15.75" x14ac:dyDescent="0.35">
      <c r="B338" s="98"/>
      <c r="D338" s="84" t="s">
        <v>84</v>
      </c>
      <c r="E338" s="84"/>
      <c r="F338" s="84"/>
      <c r="G338" s="84"/>
      <c r="H338" s="84"/>
      <c r="I338" s="84"/>
      <c r="J338" s="84"/>
      <c r="K338" s="84"/>
      <c r="L338" s="84"/>
      <c r="M338" s="108">
        <f>SUM(M339:M339)</f>
        <v>0</v>
      </c>
      <c r="O338" s="254">
        <f>SUM(O339:O339)</f>
        <v>0</v>
      </c>
      <c r="P338" s="255"/>
      <c r="Q338" s="254">
        <f>SUM(Q339:Q339)</f>
        <v>0</v>
      </c>
      <c r="R338" s="104"/>
    </row>
    <row r="339" spans="1:18" s="1" customFormat="1" ht="13.5" customHeight="1" x14ac:dyDescent="0.25">
      <c r="B339" s="20"/>
      <c r="C339" s="161">
        <v>51</v>
      </c>
      <c r="D339" s="161" t="s">
        <v>74</v>
      </c>
      <c r="E339" s="173" t="s">
        <v>117</v>
      </c>
      <c r="F339" s="350" t="s">
        <v>118</v>
      </c>
      <c r="G339" s="351"/>
      <c r="H339" s="351"/>
      <c r="I339" s="351"/>
      <c r="J339" s="121" t="s">
        <v>78</v>
      </c>
      <c r="K339" s="72">
        <f>O114</f>
        <v>813.78540025000007</v>
      </c>
      <c r="L339" s="146"/>
      <c r="M339" s="109">
        <f>ROUND(L339*K339,2)</f>
        <v>0</v>
      </c>
      <c r="N339" s="79">
        <v>0</v>
      </c>
      <c r="O339" s="72">
        <v>0</v>
      </c>
      <c r="P339" s="79">
        <v>0</v>
      </c>
      <c r="Q339" s="72">
        <v>0</v>
      </c>
      <c r="R339" s="21"/>
    </row>
    <row r="340" spans="1:18" s="135" customFormat="1" ht="15.75" x14ac:dyDescent="0.35">
      <c r="B340" s="136"/>
      <c r="D340" s="84" t="s">
        <v>150</v>
      </c>
      <c r="E340" s="84"/>
      <c r="F340" s="84"/>
      <c r="G340" s="84"/>
      <c r="H340" s="84"/>
      <c r="I340" s="84"/>
      <c r="J340" s="84"/>
      <c r="K340" s="137"/>
      <c r="L340" s="84"/>
      <c r="M340" s="108">
        <f>SUM(M341:M347)</f>
        <v>0</v>
      </c>
      <c r="O340" s="254">
        <f>SUM(O341:O347)</f>
        <v>0</v>
      </c>
      <c r="P340" s="255"/>
      <c r="Q340" s="254">
        <f>SUM(Q341:Q347)</f>
        <v>0</v>
      </c>
      <c r="R340" s="138"/>
    </row>
    <row r="341" spans="1:18" s="1" customFormat="1" x14ac:dyDescent="0.3">
      <c r="A341" s="135"/>
      <c r="B341" s="139"/>
      <c r="C341" s="169">
        <v>52</v>
      </c>
      <c r="D341" s="169" t="s">
        <v>74</v>
      </c>
      <c r="E341" s="170"/>
      <c r="F341" s="352" t="s">
        <v>94</v>
      </c>
      <c r="G341" s="353"/>
      <c r="H341" s="353"/>
      <c r="I341" s="353"/>
      <c r="J341" s="140" t="s">
        <v>85</v>
      </c>
      <c r="K341" s="83">
        <v>1</v>
      </c>
      <c r="L341" s="143"/>
      <c r="M341" s="110">
        <f t="shared" ref="M341:M347" si="23">ROUND(L341*K341,2)</f>
        <v>0</v>
      </c>
      <c r="N341" s="80">
        <v>0</v>
      </c>
      <c r="O341" s="73">
        <f t="shared" ref="O341:O347" si="24">N341*K341</f>
        <v>0</v>
      </c>
      <c r="P341" s="80">
        <v>0</v>
      </c>
      <c r="Q341" s="73">
        <f t="shared" ref="Q341:Q347" si="25">P341*K341</f>
        <v>0</v>
      </c>
      <c r="R341" s="141"/>
    </row>
    <row r="342" spans="1:18" s="1" customFormat="1" x14ac:dyDescent="0.3">
      <c r="A342" s="135"/>
      <c r="B342" s="139"/>
      <c r="C342" s="171">
        <v>53</v>
      </c>
      <c r="D342" s="171" t="s">
        <v>74</v>
      </c>
      <c r="E342" s="172"/>
      <c r="F342" s="354" t="s">
        <v>95</v>
      </c>
      <c r="G342" s="355"/>
      <c r="H342" s="355"/>
      <c r="I342" s="355"/>
      <c r="J342" s="142" t="s">
        <v>85</v>
      </c>
      <c r="K342" s="101">
        <v>1</v>
      </c>
      <c r="L342" s="144"/>
      <c r="M342" s="102">
        <f t="shared" si="23"/>
        <v>0</v>
      </c>
      <c r="N342" s="81">
        <v>0</v>
      </c>
      <c r="O342" s="74">
        <f t="shared" si="24"/>
        <v>0</v>
      </c>
      <c r="P342" s="81">
        <v>0</v>
      </c>
      <c r="Q342" s="74">
        <f t="shared" si="25"/>
        <v>0</v>
      </c>
      <c r="R342" s="141"/>
    </row>
    <row r="343" spans="1:18" s="1" customFormat="1" x14ac:dyDescent="0.3">
      <c r="A343" s="135"/>
      <c r="B343" s="139"/>
      <c r="C343" s="171">
        <v>54</v>
      </c>
      <c r="D343" s="171" t="s">
        <v>74</v>
      </c>
      <c r="E343" s="172"/>
      <c r="F343" s="354" t="s">
        <v>96</v>
      </c>
      <c r="G343" s="355"/>
      <c r="H343" s="355"/>
      <c r="I343" s="355"/>
      <c r="J343" s="142" t="s">
        <v>85</v>
      </c>
      <c r="K343" s="101">
        <v>1</v>
      </c>
      <c r="L343" s="144"/>
      <c r="M343" s="102">
        <f t="shared" si="23"/>
        <v>0</v>
      </c>
      <c r="N343" s="81">
        <v>0</v>
      </c>
      <c r="O343" s="74">
        <f t="shared" si="24"/>
        <v>0</v>
      </c>
      <c r="P343" s="81">
        <v>0</v>
      </c>
      <c r="Q343" s="74">
        <f t="shared" si="25"/>
        <v>0</v>
      </c>
      <c r="R343" s="141"/>
    </row>
    <row r="344" spans="1:18" s="1" customFormat="1" x14ac:dyDescent="0.3">
      <c r="A344" s="135"/>
      <c r="B344" s="139"/>
      <c r="C344" s="171">
        <v>55</v>
      </c>
      <c r="D344" s="171" t="s">
        <v>74</v>
      </c>
      <c r="E344" s="172"/>
      <c r="F344" s="354" t="s">
        <v>97</v>
      </c>
      <c r="G344" s="355"/>
      <c r="H344" s="355"/>
      <c r="I344" s="355"/>
      <c r="J344" s="142" t="s">
        <v>85</v>
      </c>
      <c r="K344" s="101">
        <v>1</v>
      </c>
      <c r="L344" s="144"/>
      <c r="M344" s="102">
        <f t="shared" si="23"/>
        <v>0</v>
      </c>
      <c r="N344" s="81">
        <v>0</v>
      </c>
      <c r="O344" s="74">
        <f t="shared" si="24"/>
        <v>0</v>
      </c>
      <c r="P344" s="81">
        <v>0</v>
      </c>
      <c r="Q344" s="74">
        <f t="shared" si="25"/>
        <v>0</v>
      </c>
      <c r="R344" s="141"/>
    </row>
    <row r="345" spans="1:18" s="1" customFormat="1" x14ac:dyDescent="0.3">
      <c r="A345" s="135"/>
      <c r="B345" s="139"/>
      <c r="C345" s="171">
        <v>56</v>
      </c>
      <c r="D345" s="171" t="s">
        <v>74</v>
      </c>
      <c r="E345" s="172"/>
      <c r="F345" s="354" t="s">
        <v>193</v>
      </c>
      <c r="G345" s="355"/>
      <c r="H345" s="355"/>
      <c r="I345" s="355"/>
      <c r="J345" s="142" t="s">
        <v>85</v>
      </c>
      <c r="K345" s="101">
        <v>1</v>
      </c>
      <c r="L345" s="144"/>
      <c r="M345" s="102">
        <f t="shared" si="23"/>
        <v>0</v>
      </c>
      <c r="N345" s="81">
        <v>0</v>
      </c>
      <c r="O345" s="74">
        <f t="shared" si="24"/>
        <v>0</v>
      </c>
      <c r="P345" s="81">
        <v>0</v>
      </c>
      <c r="Q345" s="74">
        <f t="shared" si="25"/>
        <v>0</v>
      </c>
      <c r="R345" s="141"/>
    </row>
    <row r="346" spans="1:18" s="1" customFormat="1" x14ac:dyDescent="0.3">
      <c r="A346" s="135"/>
      <c r="B346" s="139"/>
      <c r="C346" s="171">
        <v>57</v>
      </c>
      <c r="D346" s="171" t="s">
        <v>74</v>
      </c>
      <c r="E346" s="172"/>
      <c r="F346" s="354" t="s">
        <v>98</v>
      </c>
      <c r="G346" s="355"/>
      <c r="H346" s="355"/>
      <c r="I346" s="355"/>
      <c r="J346" s="142" t="s">
        <v>85</v>
      </c>
      <c r="K346" s="101">
        <v>1</v>
      </c>
      <c r="L346" s="144"/>
      <c r="M346" s="102">
        <f t="shared" si="23"/>
        <v>0</v>
      </c>
      <c r="N346" s="81">
        <v>0</v>
      </c>
      <c r="O346" s="74">
        <f t="shared" si="24"/>
        <v>0</v>
      </c>
      <c r="P346" s="81">
        <v>0</v>
      </c>
      <c r="Q346" s="74">
        <f t="shared" si="25"/>
        <v>0</v>
      </c>
      <c r="R346" s="141"/>
    </row>
    <row r="347" spans="1:18" s="1" customFormat="1" x14ac:dyDescent="0.3">
      <c r="A347" s="135"/>
      <c r="B347" s="139"/>
      <c r="C347" s="219">
        <v>58</v>
      </c>
      <c r="D347" s="219" t="s">
        <v>74</v>
      </c>
      <c r="E347" s="237"/>
      <c r="F347" s="356" t="s">
        <v>99</v>
      </c>
      <c r="G347" s="356"/>
      <c r="H347" s="356"/>
      <c r="I347" s="356"/>
      <c r="J347" s="220" t="s">
        <v>85</v>
      </c>
      <c r="K347" s="221">
        <v>2</v>
      </c>
      <c r="L347" s="222"/>
      <c r="M347" s="111">
        <f t="shared" si="23"/>
        <v>0</v>
      </c>
      <c r="N347" s="82">
        <v>0</v>
      </c>
      <c r="O347" s="75">
        <f t="shared" si="24"/>
        <v>0</v>
      </c>
      <c r="P347" s="82">
        <v>0</v>
      </c>
      <c r="Q347" s="75">
        <f t="shared" si="25"/>
        <v>0</v>
      </c>
      <c r="R347" s="141"/>
    </row>
    <row r="348" spans="1:18" s="77" customFormat="1" ht="7.5" x14ac:dyDescent="0.15">
      <c r="A348" s="203"/>
      <c r="B348" s="204"/>
      <c r="C348" s="205"/>
      <c r="D348" s="205"/>
      <c r="E348" s="206"/>
      <c r="F348" s="207"/>
      <c r="G348" s="207"/>
      <c r="H348" s="207"/>
      <c r="I348" s="207"/>
      <c r="J348" s="208"/>
      <c r="K348" s="209"/>
      <c r="L348" s="210"/>
      <c r="M348" s="94"/>
      <c r="N348" s="211"/>
      <c r="O348" s="131"/>
      <c r="P348" s="211"/>
      <c r="Q348" s="131"/>
      <c r="R348" s="103"/>
    </row>
    <row r="349" spans="1:18" s="1" customFormat="1" x14ac:dyDescent="0.3">
      <c r="A349" s="135"/>
      <c r="B349" s="68"/>
      <c r="C349" s="212" t="s">
        <v>139</v>
      </c>
      <c r="D349" s="128"/>
      <c r="E349" s="190"/>
      <c r="F349" s="191"/>
      <c r="G349" s="191"/>
      <c r="H349" s="191"/>
      <c r="I349" s="191"/>
      <c r="J349" s="192"/>
      <c r="K349" s="195"/>
      <c r="L349" s="69"/>
      <c r="M349" s="87"/>
      <c r="N349" s="152"/>
      <c r="O349" s="112"/>
      <c r="P349" s="152"/>
      <c r="Q349" s="112"/>
      <c r="R349" s="21"/>
    </row>
    <row r="350" spans="1:18" s="1" customFormat="1" x14ac:dyDescent="0.3">
      <c r="A350" s="135"/>
      <c r="B350" s="68"/>
      <c r="C350" s="338" t="s">
        <v>192</v>
      </c>
      <c r="D350" s="338"/>
      <c r="E350" s="338"/>
      <c r="F350" s="338"/>
      <c r="G350" s="338"/>
      <c r="H350" s="338"/>
      <c r="I350" s="338"/>
      <c r="J350" s="338"/>
      <c r="K350" s="338"/>
      <c r="L350" s="338"/>
      <c r="M350" s="338"/>
      <c r="N350" s="338"/>
      <c r="O350" s="338"/>
      <c r="P350" s="338"/>
      <c r="Q350" s="338"/>
      <c r="R350" s="21"/>
    </row>
    <row r="351" spans="1:18" s="1" customFormat="1" x14ac:dyDescent="0.3">
      <c r="A351" s="135"/>
      <c r="B351" s="68"/>
      <c r="C351" s="338" t="s">
        <v>249</v>
      </c>
      <c r="D351" s="338"/>
      <c r="E351" s="338"/>
      <c r="F351" s="338"/>
      <c r="G351" s="338"/>
      <c r="H351" s="338"/>
      <c r="I351" s="338"/>
      <c r="J351" s="338"/>
      <c r="K351" s="338"/>
      <c r="L351" s="338"/>
      <c r="M351" s="338"/>
      <c r="N351" s="338"/>
      <c r="O351" s="338"/>
      <c r="P351" s="338"/>
      <c r="Q351" s="338"/>
      <c r="R351" s="21"/>
    </row>
    <row r="352" spans="1:18" s="1" customFormat="1" ht="6.95" customHeight="1" x14ac:dyDescent="0.25">
      <c r="B352" s="40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92"/>
      <c r="O352" s="92"/>
      <c r="P352" s="92"/>
      <c r="Q352" s="92"/>
      <c r="R352" s="42"/>
    </row>
  </sheetData>
  <mergeCells count="166">
    <mergeCell ref="F290:I290"/>
    <mergeCell ref="F289:I289"/>
    <mergeCell ref="F288:I288"/>
    <mergeCell ref="F291:I291"/>
    <mergeCell ref="F282:I282"/>
    <mergeCell ref="F295:I295"/>
    <mergeCell ref="F299:I299"/>
    <mergeCell ref="F300:I300"/>
    <mergeCell ref="F286:I286"/>
    <mergeCell ref="F287:I287"/>
    <mergeCell ref="F121:I121"/>
    <mergeCell ref="F269:I269"/>
    <mergeCell ref="F271:I271"/>
    <mergeCell ref="F270:I270"/>
    <mergeCell ref="F272:I272"/>
    <mergeCell ref="F278:I278"/>
    <mergeCell ref="F273:I273"/>
    <mergeCell ref="F274:I274"/>
    <mergeCell ref="F125:I125"/>
    <mergeCell ref="F129:I129"/>
    <mergeCell ref="F130:I130"/>
    <mergeCell ref="F240:I240"/>
    <mergeCell ref="F244:I244"/>
    <mergeCell ref="F192:I192"/>
    <mergeCell ref="F193:J193"/>
    <mergeCell ref="F195:I195"/>
    <mergeCell ref="F196:J196"/>
    <mergeCell ref="F186:I186"/>
    <mergeCell ref="F190:J190"/>
    <mergeCell ref="F187:I187"/>
    <mergeCell ref="F188:I188"/>
    <mergeCell ref="F189:I189"/>
    <mergeCell ref="O12:P12"/>
    <mergeCell ref="O13:P13"/>
    <mergeCell ref="O15:P15"/>
    <mergeCell ref="O16:P16"/>
    <mergeCell ref="O18:P18"/>
    <mergeCell ref="O19:P19"/>
    <mergeCell ref="C1:Q1"/>
    <mergeCell ref="C3:Q3"/>
    <mergeCell ref="F5:P5"/>
    <mergeCell ref="O7:P7"/>
    <mergeCell ref="O9:P9"/>
    <mergeCell ref="O10:P10"/>
    <mergeCell ref="H31:J31"/>
    <mergeCell ref="M31:P31"/>
    <mergeCell ref="H32:J32"/>
    <mergeCell ref="M32:P32"/>
    <mergeCell ref="H33:J33"/>
    <mergeCell ref="M33:P33"/>
    <mergeCell ref="E22:L22"/>
    <mergeCell ref="M25:P25"/>
    <mergeCell ref="M26:P26"/>
    <mergeCell ref="M28:P28"/>
    <mergeCell ref="H30:J30"/>
    <mergeCell ref="M30:P30"/>
    <mergeCell ref="M81:Q81"/>
    <mergeCell ref="M82:Q82"/>
    <mergeCell ref="C84:G84"/>
    <mergeCell ref="O84:Q84"/>
    <mergeCell ref="O86:Q86"/>
    <mergeCell ref="O87:Q87"/>
    <mergeCell ref="H34:J34"/>
    <mergeCell ref="M34:P34"/>
    <mergeCell ref="L36:P36"/>
    <mergeCell ref="C75:Q75"/>
    <mergeCell ref="F77:P77"/>
    <mergeCell ref="M79:N79"/>
    <mergeCell ref="O96:Q96"/>
    <mergeCell ref="C102:Q102"/>
    <mergeCell ref="F104:P104"/>
    <mergeCell ref="M106:P106"/>
    <mergeCell ref="M108:Q108"/>
    <mergeCell ref="M109:Q109"/>
    <mergeCell ref="O88:Q88"/>
    <mergeCell ref="O89:Q89"/>
    <mergeCell ref="O90:Q90"/>
    <mergeCell ref="O91:Q91"/>
    <mergeCell ref="O92:Q92"/>
    <mergeCell ref="O94:Q94"/>
    <mergeCell ref="L111:M111"/>
    <mergeCell ref="N111:O111"/>
    <mergeCell ref="P111:Q111"/>
    <mergeCell ref="F134:I134"/>
    <mergeCell ref="F135:J135"/>
    <mergeCell ref="F139:I139"/>
    <mergeCell ref="C111:C112"/>
    <mergeCell ref="D111:D112"/>
    <mergeCell ref="E111:E112"/>
    <mergeCell ref="F111:I112"/>
    <mergeCell ref="J111:J112"/>
    <mergeCell ref="K111:K112"/>
    <mergeCell ref="F116:I116"/>
    <mergeCell ref="F117:I117"/>
    <mergeCell ref="F343:I343"/>
    <mergeCell ref="F344:I344"/>
    <mergeCell ref="F345:I345"/>
    <mergeCell ref="F145:I145"/>
    <mergeCell ref="F151:I151"/>
    <mergeCell ref="F152:J152"/>
    <mergeCell ref="F156:I156"/>
    <mergeCell ref="F162:I162"/>
    <mergeCell ref="F167:I167"/>
    <mergeCell ref="F168:J168"/>
    <mergeCell ref="F170:J170"/>
    <mergeCell ref="F176:I176"/>
    <mergeCell ref="F178:J178"/>
    <mergeCell ref="F177:I177"/>
    <mergeCell ref="F249:J249"/>
    <mergeCell ref="F335:I335"/>
    <mergeCell ref="F180:I180"/>
    <mergeCell ref="F181:J181"/>
    <mergeCell ref="F183:I183"/>
    <mergeCell ref="F184:J184"/>
    <mergeCell ref="F198:I198"/>
    <mergeCell ref="F199:J199"/>
    <mergeCell ref="F239:I239"/>
    <mergeCell ref="F265:I265"/>
    <mergeCell ref="F347:I347"/>
    <mergeCell ref="F236:I236"/>
    <mergeCell ref="F251:I251"/>
    <mergeCell ref="F202:I202"/>
    <mergeCell ref="F203:I203"/>
    <mergeCell ref="F204:I204"/>
    <mergeCell ref="F213:I213"/>
    <mergeCell ref="F214:I214"/>
    <mergeCell ref="F215:J215"/>
    <mergeCell ref="F229:I229"/>
    <mergeCell ref="F235:I235"/>
    <mergeCell ref="F205:J205"/>
    <mergeCell ref="F206:J206"/>
    <mergeCell ref="F237:I237"/>
    <mergeCell ref="F248:J248"/>
    <mergeCell ref="F245:I245"/>
    <mergeCell ref="F246:I246"/>
    <mergeCell ref="F247:I247"/>
    <mergeCell ref="F321:I321"/>
    <mergeCell ref="F322:J322"/>
    <mergeCell ref="F326:I326"/>
    <mergeCell ref="F327:J327"/>
    <mergeCell ref="F332:I332"/>
    <mergeCell ref="F333:I333"/>
    <mergeCell ref="C351:Q351"/>
    <mergeCell ref="C350:Q350"/>
    <mergeCell ref="F238:J238"/>
    <mergeCell ref="F220:I220"/>
    <mergeCell ref="F221:J221"/>
    <mergeCell ref="F222:J222"/>
    <mergeCell ref="F258:J258"/>
    <mergeCell ref="F306:I306"/>
    <mergeCell ref="F307:J307"/>
    <mergeCell ref="F311:I311"/>
    <mergeCell ref="F312:J312"/>
    <mergeCell ref="F316:I316"/>
    <mergeCell ref="F317:J317"/>
    <mergeCell ref="F257:I257"/>
    <mergeCell ref="F259:I259"/>
    <mergeCell ref="F304:I304"/>
    <mergeCell ref="F305:I305"/>
    <mergeCell ref="F334:I334"/>
    <mergeCell ref="F336:I336"/>
    <mergeCell ref="F337:I337"/>
    <mergeCell ref="F339:I339"/>
    <mergeCell ref="F341:I341"/>
    <mergeCell ref="F342:I342"/>
    <mergeCell ref="F346:I346"/>
  </mergeCells>
  <printOptions horizontalCentered="1"/>
  <pageMargins left="0.39370078740157483" right="0.19685039370078741" top="0.51181102362204722" bottom="0.39370078740157483" header="0" footer="0.19685039370078741"/>
  <pageSetup paperSize="9" scale="75" orientation="portrait" errors="blank" r:id="rId1"/>
  <headerFoot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35A7F119-F81A-4440-81C3-03390D3C5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Rekapitulace stavby</vt:lpstr>
      <vt:lpstr>SO.100 - ČÁST 2</vt:lpstr>
      <vt:lpstr>'SO.100 - ČÁST 2'!Názvy_tisku</vt:lpstr>
      <vt:lpstr>'Rekapitulace stavby'!Oblast_tisku</vt:lpstr>
      <vt:lpstr>'SO.100 - ČÁST 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VLADA-PC\dulikv</dc:creator>
  <cp:lastModifiedBy>Melnik Emil</cp:lastModifiedBy>
  <cp:lastPrinted>2026-03-06T08:51:32Z</cp:lastPrinted>
  <dcterms:created xsi:type="dcterms:W3CDTF">2019-04-04T10:47:39Z</dcterms:created>
  <dcterms:modified xsi:type="dcterms:W3CDTF">2026-03-06T12:23:53Z</dcterms:modified>
</cp:coreProperties>
</file>